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Anouar 2019\Hassoune Conseil\9-Dossiers en cours\WARA\6-Missions analytiques\InnoVent\2021\"/>
    </mc:Choice>
  </mc:AlternateContent>
  <xr:revisionPtr revIDLastSave="0" documentId="13_ncr:1_{CB1EA5C0-7F84-440F-B9DC-A51F160299D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atio" sheetId="3" state="hidden" r:id="rId1"/>
    <sheet name="Synthèse données &amp; ratios" sheetId="14" r:id="rId2"/>
    <sheet name="Chiffres clés" sheetId="20" state="hidden" r:id="rId3"/>
    <sheet name=" analyse 5ans" sheetId="17" state="hidden" r:id="rId4"/>
    <sheet name="Feuil2" sheetId="22" state="hidden" r:id="rId5"/>
  </sheets>
  <externalReferences>
    <externalReference r:id="rId6"/>
  </externalReferences>
  <definedNames>
    <definedName name="crossborder">[1]CBI!#REF!</definedName>
    <definedName name="global">[1]CBI!#REF!</definedName>
    <definedName name="moodynum">[1]CBI!#REF!</definedName>
    <definedName name="stats_1">[1]CBI!#REF!</definedName>
    <definedName name="stats_2">[1]CBI!#REF!</definedName>
  </definedNames>
  <calcPr calcId="191029"/>
</workbook>
</file>

<file path=xl/calcChain.xml><?xml version="1.0" encoding="utf-8"?>
<calcChain xmlns="http://schemas.openxmlformats.org/spreadsheetml/2006/main">
  <c r="E41" i="17" l="1"/>
  <c r="F41" i="17"/>
  <c r="G41" i="17"/>
  <c r="H41" i="17"/>
  <c r="D41" i="17"/>
  <c r="E40" i="17"/>
  <c r="F40" i="17"/>
  <c r="G40" i="17"/>
  <c r="H40" i="17"/>
  <c r="D40" i="17"/>
  <c r="F39" i="17"/>
  <c r="G39" i="17"/>
  <c r="H39" i="17"/>
  <c r="E38" i="17"/>
  <c r="F38" i="17"/>
  <c r="G38" i="17"/>
  <c r="H38" i="17"/>
  <c r="D38" i="17"/>
  <c r="E55" i="14"/>
  <c r="E56" i="14"/>
  <c r="E57" i="14"/>
  <c r="E60" i="14"/>
  <c r="F55" i="14"/>
  <c r="F56" i="14"/>
  <c r="F57" i="14"/>
  <c r="F60" i="14"/>
  <c r="G55" i="14"/>
  <c r="G56" i="14"/>
  <c r="G57" i="14"/>
  <c r="G60" i="14"/>
  <c r="E49" i="14"/>
  <c r="F49" i="14"/>
  <c r="G49" i="14"/>
  <c r="G6" i="14"/>
  <c r="G7" i="14"/>
  <c r="G8" i="14"/>
  <c r="G11" i="14"/>
  <c r="G12" i="14"/>
  <c r="G13" i="14"/>
  <c r="G14" i="14"/>
  <c r="G18" i="14"/>
  <c r="G19" i="14"/>
  <c r="E6" i="14"/>
  <c r="E7" i="14"/>
  <c r="E8" i="14"/>
  <c r="E11" i="14"/>
  <c r="E12" i="14"/>
  <c r="E13" i="14"/>
  <c r="E14" i="14"/>
  <c r="E18" i="14"/>
  <c r="E19" i="14"/>
  <c r="F6" i="14"/>
  <c r="F7" i="14"/>
  <c r="F8" i="14"/>
  <c r="F11" i="14"/>
  <c r="F12" i="14"/>
  <c r="F13" i="14"/>
  <c r="F14" i="14"/>
  <c r="F18" i="14"/>
  <c r="F19" i="14"/>
  <c r="G66" i="14"/>
  <c r="E66" i="14"/>
  <c r="F66" i="14"/>
  <c r="G69" i="14"/>
  <c r="G68" i="14"/>
  <c r="G67" i="14"/>
  <c r="G65" i="14"/>
  <c r="G64" i="14"/>
  <c r="E69" i="14"/>
  <c r="E68" i="14"/>
  <c r="E67" i="14"/>
  <c r="E65" i="14"/>
  <c r="E64" i="14"/>
  <c r="F69" i="14"/>
  <c r="F68" i="14"/>
  <c r="F67" i="14"/>
  <c r="F65" i="14"/>
  <c r="F64" i="14"/>
  <c r="G23" i="14"/>
  <c r="G24" i="14"/>
  <c r="G31" i="14"/>
  <c r="G30" i="14"/>
  <c r="G35" i="14"/>
  <c r="E23" i="14"/>
  <c r="E24" i="14"/>
  <c r="E31" i="14"/>
  <c r="E30" i="14"/>
  <c r="E35" i="14"/>
  <c r="F23" i="14"/>
  <c r="F24" i="14"/>
  <c r="F31" i="14"/>
  <c r="F30" i="14"/>
  <c r="F35" i="14"/>
  <c r="G82" i="14"/>
  <c r="E76" i="14"/>
  <c r="E82" i="14" s="1"/>
  <c r="E85" i="14" s="1"/>
  <c r="E39" i="17"/>
  <c r="D26" i="20"/>
  <c r="E26" i="20"/>
  <c r="F26" i="20"/>
  <c r="G26" i="20"/>
  <c r="C26" i="20"/>
  <c r="G28" i="20"/>
  <c r="E16" i="20"/>
  <c r="F16" i="20"/>
  <c r="G16" i="20"/>
  <c r="D16" i="20"/>
  <c r="E14" i="20"/>
  <c r="F14" i="20"/>
  <c r="G14" i="20"/>
  <c r="D14" i="20"/>
  <c r="D20" i="20"/>
  <c r="E20" i="20"/>
  <c r="F20" i="20"/>
  <c r="G20" i="20"/>
  <c r="C20" i="20"/>
  <c r="D22" i="20"/>
  <c r="E22" i="20"/>
  <c r="F22" i="20"/>
  <c r="G22" i="20"/>
  <c r="C22" i="20"/>
  <c r="D55" i="14"/>
  <c r="E122" i="14" s="1"/>
  <c r="D56" i="14"/>
  <c r="E123" i="14" s="1"/>
  <c r="D57" i="14"/>
  <c r="D60" i="14"/>
  <c r="D32" i="20"/>
  <c r="E32" i="20"/>
  <c r="F32" i="20"/>
  <c r="G32" i="20"/>
  <c r="C32" i="20"/>
  <c r="D31" i="20"/>
  <c r="E31" i="20"/>
  <c r="F31" i="20"/>
  <c r="G31" i="20"/>
  <c r="C31" i="20"/>
  <c r="D29" i="20"/>
  <c r="E29" i="20"/>
  <c r="F29" i="20"/>
  <c r="G29" i="20"/>
  <c r="C29" i="20"/>
  <c r="D28" i="20"/>
  <c r="E28" i="20"/>
  <c r="F28" i="20"/>
  <c r="C28" i="20"/>
  <c r="D25" i="20"/>
  <c r="E25" i="20"/>
  <c r="F25" i="20"/>
  <c r="G25" i="20"/>
  <c r="C25" i="20"/>
  <c r="D24" i="20"/>
  <c r="E24" i="20"/>
  <c r="F24" i="20"/>
  <c r="G24" i="20"/>
  <c r="C24" i="20"/>
  <c r="D10" i="20"/>
  <c r="E10" i="20"/>
  <c r="F10" i="20"/>
  <c r="G10" i="20"/>
  <c r="C10" i="20"/>
  <c r="D7" i="20"/>
  <c r="E7" i="20"/>
  <c r="F7" i="20"/>
  <c r="G7" i="20"/>
  <c r="C7" i="20"/>
  <c r="D76" i="14"/>
  <c r="D82" i="14" s="1"/>
  <c r="D85" i="14" s="1"/>
  <c r="D49" i="14"/>
  <c r="F27" i="3"/>
  <c r="D45" i="14"/>
  <c r="F45" i="14"/>
  <c r="G45" i="14"/>
  <c r="C45" i="14"/>
  <c r="G70" i="14"/>
  <c r="H35" i="3"/>
  <c r="G50" i="14"/>
  <c r="G47" i="14"/>
  <c r="C55" i="14"/>
  <c r="C56" i="14"/>
  <c r="C57" i="14"/>
  <c r="C64" i="14"/>
  <c r="C65" i="14"/>
  <c r="C66" i="14"/>
  <c r="C67" i="14"/>
  <c r="C68" i="14"/>
  <c r="C69" i="14"/>
  <c r="C35" i="14"/>
  <c r="C39" i="14"/>
  <c r="C30" i="14"/>
  <c r="C31" i="14"/>
  <c r="C23" i="14"/>
  <c r="C24" i="14"/>
  <c r="C18" i="14"/>
  <c r="C19" i="14"/>
  <c r="C11" i="14"/>
  <c r="C12" i="14"/>
  <c r="C13" i="14"/>
  <c r="C14" i="14"/>
  <c r="C6" i="14"/>
  <c r="C7" i="14"/>
  <c r="C8" i="14"/>
  <c r="D69" i="14"/>
  <c r="D68" i="14"/>
  <c r="D67" i="14"/>
  <c r="D66" i="14"/>
  <c r="E132" i="14" s="1"/>
  <c r="D65" i="14"/>
  <c r="D64" i="14"/>
  <c r="D35" i="14"/>
  <c r="D39" i="14"/>
  <c r="E39" i="14"/>
  <c r="F39" i="14"/>
  <c r="G39" i="14"/>
  <c r="D30" i="14"/>
  <c r="D31" i="14"/>
  <c r="D23" i="14"/>
  <c r="D24" i="14"/>
  <c r="D18" i="14"/>
  <c r="E99" i="14" s="1"/>
  <c r="D19" i="14"/>
  <c r="E100" i="14" s="1"/>
  <c r="D14" i="14"/>
  <c r="D13" i="14"/>
  <c r="D12" i="14"/>
  <c r="D11" i="14"/>
  <c r="D8" i="14"/>
  <c r="D7" i="14"/>
  <c r="D6" i="14"/>
  <c r="G48" i="14"/>
  <c r="G33" i="3"/>
  <c r="F61" i="14"/>
  <c r="F52" i="14"/>
  <c r="G51" i="14"/>
  <c r="F51" i="14"/>
  <c r="F50" i="14"/>
  <c r="F47" i="14"/>
  <c r="G46" i="14"/>
  <c r="F46" i="14"/>
  <c r="C61" i="14"/>
  <c r="E61" i="14"/>
  <c r="D52" i="14"/>
  <c r="E52" i="14"/>
  <c r="C52" i="14"/>
  <c r="D50" i="14"/>
  <c r="E50" i="14"/>
  <c r="C50" i="14"/>
  <c r="C47" i="14"/>
  <c r="D47" i="14"/>
  <c r="E47" i="14"/>
  <c r="E5" i="14"/>
  <c r="D29" i="14"/>
  <c r="D5" i="14"/>
  <c r="E63" i="14"/>
  <c r="D63" i="14"/>
  <c r="E70" i="14"/>
  <c r="D46" i="14"/>
  <c r="D48" i="14"/>
  <c r="E51" i="14"/>
  <c r="E46" i="14"/>
  <c r="E48" i="14"/>
  <c r="C46" i="14"/>
  <c r="C63" i="14"/>
  <c r="C70" i="14"/>
  <c r="G34" i="3"/>
  <c r="H39" i="3"/>
  <c r="H40" i="3"/>
  <c r="H26" i="3"/>
  <c r="D39" i="3"/>
  <c r="D40" i="3"/>
  <c r="E39" i="3"/>
  <c r="E40" i="3"/>
  <c r="F39" i="3"/>
  <c r="F40" i="3"/>
  <c r="G39" i="3"/>
  <c r="G40" i="3"/>
  <c r="F26" i="3"/>
  <c r="G26" i="3"/>
  <c r="C26" i="3"/>
  <c r="D26" i="3"/>
  <c r="E26" i="3"/>
  <c r="C39" i="3"/>
  <c r="C40" i="3"/>
  <c r="C27" i="3"/>
  <c r="F5" i="3"/>
  <c r="G5" i="3"/>
  <c r="C34" i="3"/>
  <c r="E41" i="3" l="1"/>
  <c r="E42" i="3" s="1"/>
  <c r="E129" i="14"/>
  <c r="D154" i="14"/>
  <c r="E94" i="14"/>
  <c r="E108" i="14"/>
  <c r="E131" i="14"/>
  <c r="E92" i="14"/>
  <c r="G41" i="3"/>
  <c r="G42" i="3" s="1"/>
  <c r="C153" i="14"/>
  <c r="E130" i="14"/>
  <c r="C29" i="14"/>
  <c r="G29" i="14"/>
  <c r="E35" i="3"/>
  <c r="C41" i="3"/>
  <c r="C42" i="3" s="1"/>
  <c r="C33" i="3"/>
  <c r="H5" i="3"/>
  <c r="H25" i="3"/>
  <c r="H33" i="3"/>
  <c r="F5" i="14"/>
  <c r="F9" i="14" s="1"/>
  <c r="F15" i="14" s="1"/>
  <c r="E28" i="14"/>
  <c r="F7" i="3"/>
  <c r="D41" i="3"/>
  <c r="D42" i="3" s="1"/>
  <c r="F82" i="14"/>
  <c r="F85" i="14" s="1"/>
  <c r="G84" i="14" s="1"/>
  <c r="G85" i="14" s="1"/>
  <c r="E102" i="14"/>
  <c r="C35" i="3"/>
  <c r="E34" i="3"/>
  <c r="H41" i="3"/>
  <c r="H42" i="3" s="1"/>
  <c r="H34" i="3"/>
  <c r="F35" i="3"/>
  <c r="H42" i="17"/>
  <c r="E27" i="3"/>
  <c r="G28" i="14"/>
  <c r="E29" i="14"/>
  <c r="E106" i="14" s="1"/>
  <c r="F29" i="14"/>
  <c r="F28" i="14"/>
  <c r="E103" i="14"/>
  <c r="E5" i="3"/>
  <c r="E46" i="3"/>
  <c r="C46" i="3"/>
  <c r="D5" i="3"/>
  <c r="D46" i="3"/>
  <c r="D147" i="14"/>
  <c r="F41" i="3"/>
  <c r="F42" i="3" s="1"/>
  <c r="D47" i="3"/>
  <c r="E95" i="14"/>
  <c r="E96" i="14"/>
  <c r="D27" i="3"/>
  <c r="H27" i="3"/>
  <c r="E33" i="3"/>
  <c r="D33" i="3"/>
  <c r="D35" i="3"/>
  <c r="D51" i="14"/>
  <c r="D150" i="14" s="1"/>
  <c r="D6" i="3"/>
  <c r="F42" i="17"/>
  <c r="G42" i="17"/>
  <c r="D153" i="14"/>
  <c r="E111" i="14"/>
  <c r="E116" i="14"/>
  <c r="E133" i="14"/>
  <c r="E134" i="14"/>
  <c r="E117" i="14"/>
  <c r="E135" i="14"/>
  <c r="E97" i="14"/>
  <c r="E115" i="14"/>
  <c r="C48" i="14"/>
  <c r="E86" i="14"/>
  <c r="D25" i="17"/>
  <c r="E120" i="14"/>
  <c r="E25" i="17"/>
  <c r="F26" i="17"/>
  <c r="F32" i="17"/>
  <c r="F47" i="3"/>
  <c r="G63" i="14"/>
  <c r="G27" i="3"/>
  <c r="D34" i="3"/>
  <c r="D70" i="14"/>
  <c r="D86" i="14" s="1"/>
  <c r="D61" i="14"/>
  <c r="E47" i="3"/>
  <c r="C6" i="3"/>
  <c r="C51" i="14"/>
  <c r="D26" i="17"/>
  <c r="D32" i="17"/>
  <c r="F34" i="3"/>
  <c r="F70" i="14"/>
  <c r="D156" i="14"/>
  <c r="G31" i="17"/>
  <c r="E45" i="14"/>
  <c r="E53" i="14" s="1"/>
  <c r="E143" i="14" s="1"/>
  <c r="E6" i="3"/>
  <c r="H31" i="17"/>
  <c r="E42" i="17"/>
  <c r="D9" i="14"/>
  <c r="D15" i="14" s="1"/>
  <c r="E87" i="14"/>
  <c r="D31" i="17"/>
  <c r="G5" i="14"/>
  <c r="F46" i="3"/>
  <c r="F6" i="3"/>
  <c r="F48" i="14"/>
  <c r="F53" i="14" s="1"/>
  <c r="G52" i="14"/>
  <c r="G53" i="14" s="1"/>
  <c r="G35" i="3"/>
  <c r="G36" i="3" s="1"/>
  <c r="E155" i="14"/>
  <c r="E150" i="14"/>
  <c r="C5" i="14"/>
  <c r="C5" i="3"/>
  <c r="D28" i="14"/>
  <c r="E118" i="14"/>
  <c r="E153" i="14"/>
  <c r="H7" i="3"/>
  <c r="G25" i="3"/>
  <c r="G29" i="3" s="1"/>
  <c r="G6" i="3"/>
  <c r="E9" i="14"/>
  <c r="E90" i="14"/>
  <c r="E156" i="14"/>
  <c r="E154" i="14"/>
  <c r="E20" i="17"/>
  <c r="G7" i="3"/>
  <c r="G61" i="14"/>
  <c r="F33" i="3"/>
  <c r="F63" i="14"/>
  <c r="E7" i="3"/>
  <c r="H6" i="3"/>
  <c r="C28" i="14"/>
  <c r="G26" i="17"/>
  <c r="G32" i="17"/>
  <c r="D39" i="17"/>
  <c r="D42" i="17" s="1"/>
  <c r="H25" i="17"/>
  <c r="F16" i="3" l="1"/>
  <c r="E119" i="14"/>
  <c r="E105" i="14"/>
  <c r="D155" i="14"/>
  <c r="D53" i="14"/>
  <c r="D151" i="14" s="1"/>
  <c r="C53" i="14"/>
  <c r="C151" i="14" s="1"/>
  <c r="H36" i="3"/>
  <c r="C13" i="3"/>
  <c r="C147" i="14"/>
  <c r="F4" i="3"/>
  <c r="F10" i="3" s="1"/>
  <c r="F11" i="3" s="1"/>
  <c r="F25" i="3"/>
  <c r="C36" i="3"/>
  <c r="C87" i="14" s="1"/>
  <c r="E36" i="3"/>
  <c r="F36" i="3"/>
  <c r="C4" i="3"/>
  <c r="C10" i="3" s="1"/>
  <c r="C11" i="3" s="1"/>
  <c r="E147" i="14"/>
  <c r="D25" i="3"/>
  <c r="D29" i="3" s="1"/>
  <c r="C47" i="3"/>
  <c r="G47" i="3" s="1"/>
  <c r="H47" i="3" s="1"/>
  <c r="E25" i="3"/>
  <c r="F48" i="3"/>
  <c r="D36" i="3"/>
  <c r="E151" i="14"/>
  <c r="D19" i="17" s="1"/>
  <c r="G16" i="3"/>
  <c r="G13" i="3"/>
  <c r="E7" i="17"/>
  <c r="E19" i="17"/>
  <c r="E16" i="3"/>
  <c r="E13" i="3"/>
  <c r="H13" i="3"/>
  <c r="H16" i="3"/>
  <c r="D7" i="3"/>
  <c r="D16" i="3" s="1"/>
  <c r="E32" i="17"/>
  <c r="E26" i="17"/>
  <c r="E27" i="17" s="1"/>
  <c r="H30" i="3"/>
  <c r="H29" i="3"/>
  <c r="C143" i="14"/>
  <c r="C9" i="14"/>
  <c r="C15" i="14" s="1"/>
  <c r="C154" i="14"/>
  <c r="C7" i="3"/>
  <c r="C16" i="3" s="1"/>
  <c r="D20" i="17"/>
  <c r="G9" i="14"/>
  <c r="C155" i="14"/>
  <c r="C150" i="14"/>
  <c r="C156" i="14"/>
  <c r="F19" i="17"/>
  <c r="G30" i="3"/>
  <c r="F86" i="14"/>
  <c r="F13" i="3"/>
  <c r="G20" i="17"/>
  <c r="G87" i="14"/>
  <c r="F31" i="17"/>
  <c r="C25" i="3"/>
  <c r="D13" i="3"/>
  <c r="D27" i="17"/>
  <c r="F20" i="17"/>
  <c r="D7" i="17"/>
  <c r="E136" i="14"/>
  <c r="D87" i="14"/>
  <c r="H26" i="17"/>
  <c r="H27" i="17" s="1"/>
  <c r="H32" i="17"/>
  <c r="G46" i="3"/>
  <c r="H20" i="17"/>
  <c r="F16" i="14"/>
  <c r="F20" i="14"/>
  <c r="F25" i="17"/>
  <c r="F27" i="17" s="1"/>
  <c r="G86" i="14"/>
  <c r="G25" i="17"/>
  <c r="G27" i="17" s="1"/>
  <c r="F87" i="14"/>
  <c r="E31" i="17"/>
  <c r="E15" i="14"/>
  <c r="E93" i="14"/>
  <c r="D16" i="14"/>
  <c r="D20" i="14"/>
  <c r="D161" i="14" s="1"/>
  <c r="E121" i="14" l="1"/>
  <c r="D143" i="14"/>
  <c r="F29" i="3"/>
  <c r="F30" i="3"/>
  <c r="E48" i="3"/>
  <c r="D48" i="3"/>
  <c r="H4" i="3"/>
  <c r="H10" i="3" s="1"/>
  <c r="H11" i="3" s="1"/>
  <c r="C19" i="3"/>
  <c r="C20" i="3" s="1"/>
  <c r="D4" i="3"/>
  <c r="D10" i="3" s="1"/>
  <c r="D11" i="3" s="1"/>
  <c r="C48" i="3"/>
  <c r="G48" i="3" s="1"/>
  <c r="G7" i="17"/>
  <c r="E58" i="14"/>
  <c r="E4" i="3"/>
  <c r="E10" i="3" s="1"/>
  <c r="E11" i="3" s="1"/>
  <c r="D30" i="3"/>
  <c r="G4" i="3"/>
  <c r="G10" i="3" s="1"/>
  <c r="G11" i="3" s="1"/>
  <c r="F19" i="3"/>
  <c r="F20" i="3" s="1"/>
  <c r="E30" i="3"/>
  <c r="E29" i="3"/>
  <c r="J20" i="17"/>
  <c r="H46" i="3"/>
  <c r="I46" i="3"/>
  <c r="H19" i="17"/>
  <c r="H7" i="17"/>
  <c r="F7" i="17"/>
  <c r="I47" i="3"/>
  <c r="F25" i="14"/>
  <c r="E46" i="17"/>
  <c r="F21" i="14"/>
  <c r="D25" i="14"/>
  <c r="D21" i="14"/>
  <c r="D160" i="14"/>
  <c r="C30" i="3"/>
  <c r="C29" i="3"/>
  <c r="G15" i="14"/>
  <c r="C16" i="14"/>
  <c r="C20" i="14"/>
  <c r="E98" i="14"/>
  <c r="E20" i="14"/>
  <c r="E16" i="14"/>
  <c r="E47" i="17"/>
  <c r="F58" i="14" l="1"/>
  <c r="D19" i="3"/>
  <c r="D20" i="3" s="1"/>
  <c r="H19" i="3"/>
  <c r="H20" i="3" s="1"/>
  <c r="G58" i="14"/>
  <c r="G19" i="17"/>
  <c r="D58" i="14"/>
  <c r="D59" i="14" s="1"/>
  <c r="D62" i="14" s="1"/>
  <c r="D71" i="14" s="1"/>
  <c r="E19" i="3"/>
  <c r="E20" i="3" s="1"/>
  <c r="G19" i="3"/>
  <c r="G20" i="3" s="1"/>
  <c r="J7" i="17"/>
  <c r="J19" i="17"/>
  <c r="J46" i="3"/>
  <c r="F59" i="14"/>
  <c r="E25" i="14"/>
  <c r="E101" i="14"/>
  <c r="E160" i="14"/>
  <c r="E21" i="14"/>
  <c r="E161" i="14"/>
  <c r="E59" i="14"/>
  <c r="C21" i="14"/>
  <c r="C25" i="14"/>
  <c r="C160" i="14"/>
  <c r="C161" i="14"/>
  <c r="D32" i="14"/>
  <c r="D26" i="14"/>
  <c r="G20" i="14"/>
  <c r="G16" i="14"/>
  <c r="H48" i="3"/>
  <c r="F32" i="14"/>
  <c r="F26" i="14"/>
  <c r="J47" i="3"/>
  <c r="E125" i="14" l="1"/>
  <c r="D159" i="14"/>
  <c r="G59" i="14"/>
  <c r="G62" i="14" s="1"/>
  <c r="D144" i="14"/>
  <c r="D47" i="17"/>
  <c r="E62" i="14"/>
  <c r="E126" i="14"/>
  <c r="D46" i="17"/>
  <c r="E32" i="14"/>
  <c r="E104" i="14"/>
  <c r="E26" i="14"/>
  <c r="C26" i="14"/>
  <c r="C32" i="14"/>
  <c r="G47" i="17"/>
  <c r="G25" i="14"/>
  <c r="G21" i="14"/>
  <c r="G46" i="17"/>
  <c r="I48" i="3"/>
  <c r="D36" i="14"/>
  <c r="D33" i="14"/>
  <c r="D41" i="14"/>
  <c r="F36" i="14"/>
  <c r="F33" i="14"/>
  <c r="F41" i="14"/>
  <c r="K47" i="3"/>
  <c r="G33" i="17"/>
  <c r="G34" i="17" s="1"/>
  <c r="G11" i="17"/>
  <c r="F62" i="14"/>
  <c r="K46" i="3"/>
  <c r="L47" i="3" l="1"/>
  <c r="E36" i="14"/>
  <c r="E41" i="14"/>
  <c r="E33" i="14"/>
  <c r="E109" i="14"/>
  <c r="C36" i="14"/>
  <c r="C40" i="14" s="1"/>
  <c r="C58" i="14" s="1"/>
  <c r="C59" i="14" s="1"/>
  <c r="C142" i="14"/>
  <c r="C41" i="14"/>
  <c r="C146" i="14"/>
  <c r="E21" i="17"/>
  <c r="E33" i="17"/>
  <c r="E34" i="17" s="1"/>
  <c r="F71" i="14"/>
  <c r="E11" i="17"/>
  <c r="G32" i="14"/>
  <c r="G26" i="14"/>
  <c r="E9" i="17"/>
  <c r="E13" i="17"/>
  <c r="E6" i="17"/>
  <c r="F40" i="14"/>
  <c r="F37" i="14"/>
  <c r="F46" i="17"/>
  <c r="E152" i="14"/>
  <c r="D33" i="17"/>
  <c r="D34" i="17" s="1"/>
  <c r="E128" i="14"/>
  <c r="E71" i="14"/>
  <c r="E159" i="14"/>
  <c r="E144" i="14"/>
  <c r="F33" i="17"/>
  <c r="F34" i="17" s="1"/>
  <c r="G71" i="14"/>
  <c r="F47" i="17"/>
  <c r="D145" i="14"/>
  <c r="D40" i="14"/>
  <c r="D37" i="14"/>
  <c r="D146" i="14"/>
  <c r="D142" i="14"/>
  <c r="H47" i="17"/>
  <c r="J48" i="3"/>
  <c r="G21" i="17"/>
  <c r="L46" i="3"/>
  <c r="H46" i="17"/>
  <c r="J46" i="17" l="1"/>
  <c r="J47" i="17"/>
  <c r="E142" i="14"/>
  <c r="E145" i="14"/>
  <c r="E146" i="14"/>
  <c r="E40" i="14"/>
  <c r="E37" i="14"/>
  <c r="M47" i="3"/>
  <c r="G36" i="14"/>
  <c r="G33" i="14"/>
  <c r="G41" i="14"/>
  <c r="C62" i="14"/>
  <c r="C71" i="14" s="1"/>
  <c r="C159" i="14"/>
  <c r="C144" i="14"/>
  <c r="D11" i="17"/>
  <c r="D21" i="17"/>
  <c r="F11" i="17"/>
  <c r="F21" i="17"/>
  <c r="C145" i="14"/>
  <c r="K48" i="3"/>
  <c r="E137" i="14"/>
  <c r="M46" i="3"/>
  <c r="D13" i="17" l="1"/>
  <c r="H33" i="17"/>
  <c r="H34" i="17" s="1"/>
  <c r="J34" i="17" s="1"/>
  <c r="N46" i="3"/>
  <c r="G37" i="14"/>
  <c r="G40" i="14"/>
  <c r="D6" i="17"/>
  <c r="L48" i="3"/>
  <c r="N47" i="3"/>
  <c r="D9" i="17"/>
  <c r="G6" i="17"/>
  <c r="G9" i="17"/>
  <c r="G13" i="17"/>
  <c r="O46" i="3" l="1"/>
  <c r="H13" i="17"/>
  <c r="F6" i="17"/>
  <c r="H6" i="17"/>
  <c r="F9" i="17"/>
  <c r="H21" i="17"/>
  <c r="J21" i="17" s="1"/>
  <c r="F13" i="17"/>
  <c r="J13" i="17" s="1"/>
  <c r="H11" i="17"/>
  <c r="J11" i="17" s="1"/>
  <c r="H9" i="17"/>
  <c r="O47" i="3"/>
  <c r="M48" i="3"/>
  <c r="J9" i="17" l="1"/>
  <c r="J6" i="17"/>
  <c r="P46" i="3"/>
  <c r="N48" i="3"/>
  <c r="P47" i="3"/>
  <c r="Q47" i="3" l="1"/>
  <c r="O48" i="3"/>
  <c r="Q46" i="3"/>
  <c r="P48" i="3" l="1"/>
  <c r="R47" i="3"/>
  <c r="R46" i="3"/>
  <c r="S46" i="3" l="1"/>
  <c r="T46" i="3" s="1"/>
  <c r="S47" i="3"/>
  <c r="Q48" i="3"/>
  <c r="R48" i="3" l="1"/>
  <c r="T47" i="3"/>
  <c r="U46" i="3"/>
  <c r="V46" i="3" s="1"/>
  <c r="W46" i="3" s="1"/>
  <c r="X46" i="3" l="1"/>
  <c r="U47" i="3"/>
  <c r="S48" i="3"/>
  <c r="Y46" i="3"/>
  <c r="T48" i="3" l="1"/>
  <c r="V47" i="3"/>
  <c r="Z46" i="3"/>
  <c r="AA46" i="3" l="1"/>
  <c r="W47" i="3"/>
  <c r="U48" i="3"/>
  <c r="V48" i="3" l="1"/>
  <c r="W48" i="3" s="1"/>
  <c r="X47" i="3"/>
  <c r="AB46" i="3"/>
  <c r="AC46" i="3" l="1"/>
  <c r="AD46" i="3" s="1"/>
  <c r="Y47" i="3"/>
  <c r="Z47" i="3" s="1"/>
  <c r="AA47" i="3" s="1"/>
  <c r="X48" i="3"/>
  <c r="AB47" i="3" l="1"/>
  <c r="AC47" i="3" s="1"/>
  <c r="AE46" i="3"/>
  <c r="AF46" i="3" s="1"/>
  <c r="AG46" i="3" s="1"/>
  <c r="Y48" i="3"/>
  <c r="Z48" i="3" l="1"/>
  <c r="AD47" i="3"/>
  <c r="AA48" i="3" l="1"/>
  <c r="AE47" i="3"/>
  <c r="AF47" i="3" s="1"/>
  <c r="AG47" i="3" s="1"/>
  <c r="AB48" i="3" l="1"/>
  <c r="AC48" i="3" s="1"/>
  <c r="AD48" i="3" s="1"/>
  <c r="AE48" i="3" s="1"/>
  <c r="AF48" i="3" l="1"/>
  <c r="AG48" i="3" s="1"/>
</calcChain>
</file>

<file path=xl/sharedStrings.xml><?xml version="1.0" encoding="utf-8"?>
<sst xmlns="http://schemas.openxmlformats.org/spreadsheetml/2006/main" count="367" uniqueCount="181">
  <si>
    <t>Charges immobilisées</t>
  </si>
  <si>
    <t>Immobilisations incorporelles</t>
  </si>
  <si>
    <t>Immobilisations corporelles</t>
  </si>
  <si>
    <t>Immobilisations financières</t>
  </si>
  <si>
    <t>Stocks</t>
  </si>
  <si>
    <t>Créances et emplois assimilés</t>
  </si>
  <si>
    <t>Capital</t>
  </si>
  <si>
    <t>Report à nouveau</t>
  </si>
  <si>
    <t>Clients, avances reçues</t>
  </si>
  <si>
    <t>Fournisseurs d'exploitation</t>
  </si>
  <si>
    <t>Dettes sociales</t>
  </si>
  <si>
    <t>Autres dettes</t>
  </si>
  <si>
    <t>Achats de marchandises</t>
  </si>
  <si>
    <t>Transports</t>
  </si>
  <si>
    <t>Services extérieurs</t>
  </si>
  <si>
    <t>Impôts et taxes</t>
  </si>
  <si>
    <t>Autres charges</t>
  </si>
  <si>
    <t>Dotations aux amortissements et aux provisions</t>
  </si>
  <si>
    <t>Charges de personnel</t>
  </si>
  <si>
    <t>Production immobilisée</t>
  </si>
  <si>
    <t>Autres produits</t>
  </si>
  <si>
    <t>Reprises de provisions</t>
  </si>
  <si>
    <t>RESULTAT D'EXPLOITATION</t>
  </si>
  <si>
    <t>TOTAL ACTIF</t>
  </si>
  <si>
    <t>TOTAL PASSIF</t>
  </si>
  <si>
    <t>Actif circulant H.A.O</t>
  </si>
  <si>
    <t>Dettes circulantes et ressources assimilées H.A.O</t>
  </si>
  <si>
    <t>RN</t>
  </si>
  <si>
    <t>CA</t>
  </si>
  <si>
    <t>TA</t>
  </si>
  <si>
    <t>FP</t>
  </si>
  <si>
    <t>Marge de Profit (MP)</t>
  </si>
  <si>
    <t>%</t>
  </si>
  <si>
    <t>Rotation des actifs (RA)</t>
  </si>
  <si>
    <t>Levier Financier (LF)</t>
  </si>
  <si>
    <t>Retour sur Fonds Propres (RFP)</t>
  </si>
  <si>
    <t>EBITDA (EBE)</t>
  </si>
  <si>
    <t>Intérêts</t>
  </si>
  <si>
    <t>Couverture des intérêts</t>
  </si>
  <si>
    <t>% CA</t>
  </si>
  <si>
    <t>Dette financière</t>
  </si>
  <si>
    <t>Dette financière/EBE</t>
  </si>
  <si>
    <t>Trésorerie (Passif)</t>
  </si>
  <si>
    <t>Trésorerie (Actif)</t>
  </si>
  <si>
    <t>DETTE FINANCIERE NETTE</t>
  </si>
  <si>
    <t>Marge brute sur matières</t>
  </si>
  <si>
    <t>Vente de matières</t>
  </si>
  <si>
    <t>Coût des matières</t>
  </si>
  <si>
    <t>Chiffre d'affaires</t>
  </si>
  <si>
    <t>Résultat Net</t>
  </si>
  <si>
    <t>VALEUR AJOUTEE</t>
  </si>
  <si>
    <t>PRODUITS D'EXPLOITATION</t>
  </si>
  <si>
    <t>EXCEDENT BRUT D'EXPLOITATION (EBE)</t>
  </si>
  <si>
    <t>Résultat financier</t>
  </si>
  <si>
    <t>Impôt sur le résultat</t>
  </si>
  <si>
    <t>Chiffre d'affaires (CA)</t>
  </si>
  <si>
    <t>Résultat hors activités ordinaires (H.A.O)</t>
  </si>
  <si>
    <t>Trésorerie - Actif</t>
  </si>
  <si>
    <t>Dettes financières</t>
  </si>
  <si>
    <t>Trésorerie - Passif</t>
  </si>
  <si>
    <t>TAUX DE CROISSANCE - BILAN (en %)</t>
  </si>
  <si>
    <t>BILAN (en millions de FCFA)</t>
  </si>
  <si>
    <t>INFORMATIONS COMPLEMENTAIRES (en millions de FCFA)</t>
  </si>
  <si>
    <t>Rentabilité</t>
  </si>
  <si>
    <t>Liquidité</t>
  </si>
  <si>
    <t>Flexibilité financière</t>
  </si>
  <si>
    <t>Notes</t>
  </si>
  <si>
    <t>(2) Dette financière nette =  Dette financière + trésorerie passif - trésorerie actif</t>
  </si>
  <si>
    <t>CA = Chiffre d'affaires</t>
  </si>
  <si>
    <t>Rotation des stocks (en nombre de fois / an)</t>
  </si>
  <si>
    <t>Couverture des stocks (en jours d'achats)</t>
  </si>
  <si>
    <t>(3) Taux de TVA utilisé 20%</t>
  </si>
  <si>
    <t>Marge de profit (RN/CA) en %</t>
  </si>
  <si>
    <t>Rotation des actifs (CA/TA) en %</t>
  </si>
  <si>
    <t>Levier financier (TA/FP) en %</t>
  </si>
  <si>
    <t>Retour sur fonds propres (RN/FP) en %</t>
  </si>
  <si>
    <t>ROA (RN/TA) en %</t>
  </si>
  <si>
    <t>Charges d'exploitation/Produits d'exploitation en %</t>
  </si>
  <si>
    <t>Ratio de liquidité générale (AC/PC) en %</t>
  </si>
  <si>
    <t>Ratio de liquidité de l'actif (AC/TA) en %</t>
  </si>
  <si>
    <t>(1) FCF = CAF +/- Variation de BFR - Investissements, ce sont les flux opérationnel libres de tout engagement opérationnel</t>
  </si>
  <si>
    <t>RATIOS</t>
  </si>
  <si>
    <t>Impôts différés</t>
  </si>
  <si>
    <t>Part des minoritaires</t>
  </si>
  <si>
    <t>Charges immobiliséés</t>
  </si>
  <si>
    <t>Impôt différés</t>
  </si>
  <si>
    <t>Parts des minoritaires</t>
  </si>
  <si>
    <t>RESULTAT NET DE L'ENSEMBLE CONSOLIDE</t>
  </si>
  <si>
    <t>Parts de l'entreprise consolidante</t>
  </si>
  <si>
    <t>Primes et réserves consolidées</t>
  </si>
  <si>
    <t>Dette financière nette (2)</t>
  </si>
  <si>
    <r>
      <t xml:space="preserve">Délais clients (en jours de CA) </t>
    </r>
    <r>
      <rPr>
        <sz val="12"/>
        <color indexed="23"/>
        <rFont val="Garamond"/>
        <family val="1"/>
      </rPr>
      <t>(3)</t>
    </r>
  </si>
  <si>
    <r>
      <t xml:space="preserve">Délais fournisseurs (en jours de CA) </t>
    </r>
    <r>
      <rPr>
        <sz val="12"/>
        <color indexed="23"/>
        <rFont val="Garamond"/>
        <family val="1"/>
      </rPr>
      <t>(3)</t>
    </r>
  </si>
  <si>
    <t>Production stockée</t>
  </si>
  <si>
    <t>Variation de BFR</t>
  </si>
  <si>
    <t>Investissements</t>
  </si>
  <si>
    <t>Remboursements d'emprunts</t>
  </si>
  <si>
    <t>Nouveaux emprunts</t>
  </si>
  <si>
    <t>Augmentation de capital / Subvention</t>
  </si>
  <si>
    <t>Distribution de dividendes</t>
  </si>
  <si>
    <t>Variation de trésorerie</t>
  </si>
  <si>
    <t>Trésorerie nette d'ouverture</t>
  </si>
  <si>
    <t>N/A</t>
  </si>
  <si>
    <t>check tréso bilan</t>
  </si>
  <si>
    <t>Trésorerie nette de clôture</t>
  </si>
  <si>
    <t>COMPTE DE RESULTATS (en millions de FCFA)</t>
  </si>
  <si>
    <t>Quote-part des sociétés mises en équivalence</t>
  </si>
  <si>
    <t>Total des capitaux propres</t>
  </si>
  <si>
    <t>Capacité d'auto-financement globale (CAFG)</t>
  </si>
  <si>
    <t>TAUX DE CROISSANCE - COMPTE DE RESULTATS (en %)</t>
  </si>
  <si>
    <t>Résultat net part de l'entreprise consolidante</t>
  </si>
  <si>
    <t>Résultat net (part du Groupe)</t>
  </si>
  <si>
    <t>RESULTAT NET, PART DU GROUPE</t>
  </si>
  <si>
    <t>RESULTAT NET CONSOLIDE GLOBAL</t>
  </si>
  <si>
    <t>Gearing (Dettes financières+trésorerie passif)/FP en %</t>
  </si>
  <si>
    <t>CAF = Capacité d'auto-financement</t>
  </si>
  <si>
    <t>RN = Résultat net</t>
  </si>
  <si>
    <t>TA = Total actif</t>
  </si>
  <si>
    <t>FP = Fonds propres</t>
  </si>
  <si>
    <t>AC = Actif circulant</t>
  </si>
  <si>
    <t>PC = Passif circulant</t>
  </si>
  <si>
    <t>Score WARA</t>
  </si>
  <si>
    <t>Marge de profit</t>
  </si>
  <si>
    <t>Rotation des Actifs</t>
  </si>
  <si>
    <t>Rentabilité des fonds propres (ROE)</t>
  </si>
  <si>
    <t>Moy. 5 ans</t>
  </si>
  <si>
    <t>Rotation des actifs</t>
  </si>
  <si>
    <t>Rentabilité des Actifs (ROA)</t>
  </si>
  <si>
    <t>Capitaux propres</t>
  </si>
  <si>
    <t>Actifs liquides / Actif Total</t>
  </si>
  <si>
    <t>Actifs liquides / Ressources CT</t>
  </si>
  <si>
    <t>(Ressources LT + CP) / Actif immo</t>
  </si>
  <si>
    <t>Trésorerie Actif</t>
  </si>
  <si>
    <t>Trésorerie Passif</t>
  </si>
  <si>
    <t>Trésorerie nette</t>
  </si>
  <si>
    <t>Dettes financières à M/L terme</t>
  </si>
  <si>
    <t>Trésorerie-Passif</t>
  </si>
  <si>
    <t xml:space="preserve">Gearing </t>
  </si>
  <si>
    <t>CAFG</t>
  </si>
  <si>
    <t xml:space="preserve">  Solde</t>
  </si>
  <si>
    <t>(Dettes financières+trésorerie passif)/EBE</t>
  </si>
  <si>
    <t xml:space="preserve">EBE/intérêts </t>
  </si>
  <si>
    <t>Subventions d'investissement</t>
  </si>
  <si>
    <t>Actif</t>
  </si>
  <si>
    <t>Marge nette</t>
  </si>
  <si>
    <t>ROA</t>
  </si>
  <si>
    <t>ROE</t>
  </si>
  <si>
    <t>EBE/charges fi (x)</t>
  </si>
  <si>
    <t>CHIFFRES CLES</t>
  </si>
  <si>
    <t xml:space="preserve"> </t>
  </si>
  <si>
    <t>Trésorerie Nette</t>
  </si>
  <si>
    <t>Endettement net</t>
  </si>
  <si>
    <t>Gearing (WARA)</t>
  </si>
  <si>
    <t>variation</t>
  </si>
  <si>
    <t>Levier financier</t>
  </si>
  <si>
    <t>(RLT + FP) / Actif  Immobilisé en %</t>
  </si>
  <si>
    <t>Terminal A Conteneurs</t>
  </si>
  <si>
    <t>Terminal Roulier</t>
  </si>
  <si>
    <t>Terminal Vraquier</t>
  </si>
  <si>
    <t>Terminal Pétrolier</t>
  </si>
  <si>
    <t>Opérateur</t>
  </si>
  <si>
    <t>Infrastructures</t>
  </si>
  <si>
    <t>Durée de la concession</t>
  </si>
  <si>
    <t>Date de début de la concession</t>
  </si>
  <si>
    <t>Dubai Port World</t>
  </si>
  <si>
    <t>Bolloré</t>
  </si>
  <si>
    <t>Sea Invest</t>
  </si>
  <si>
    <t>25 ans</t>
  </si>
  <si>
    <t>29 ha, 715 m de quai, 13m de tirant d'eau</t>
  </si>
  <si>
    <t>8 ha, 700 m de quai, 10m de tirant d'eau</t>
  </si>
  <si>
    <t xml:space="preserve">16 ha, 475m de quai, 10 m de tirant d'eau </t>
  </si>
  <si>
    <t xml:space="preserve">1,8 ha, 709m de quai, 12m de tirant d'eau </t>
  </si>
  <si>
    <t>Terminal</t>
  </si>
  <si>
    <t>Levier Financier</t>
  </si>
  <si>
    <t>Dettes fiscales et sociales</t>
  </si>
  <si>
    <t>-</t>
  </si>
  <si>
    <t>Couverture des charges d'intérêt (EBE/intérêts financiers) (en x)</t>
  </si>
  <si>
    <t>(Dettes financières+trésorerie passif)/EBE (en x)</t>
  </si>
  <si>
    <t>Compte Courant Actionnaire</t>
  </si>
  <si>
    <t>Résultat net</t>
  </si>
  <si>
    <t>INNOVENT SENEGAL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</si>
</sst>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#,##0.0"/>
    <numFmt numFmtId="166" formatCode="_-* #,##0.00\ _F_-;\-* #,##0.00\ _F_-;_-* &quot;-&quot;??\ _F_-;_-@_-"/>
    <numFmt numFmtId="167" formatCode="0.0"/>
    <numFmt numFmtId="169" formatCode="#,##0.0\x\ "/>
    <numFmt numFmtId="170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Garamond"/>
      <family val="1"/>
    </font>
    <font>
      <sz val="12"/>
      <color indexed="23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i/>
      <sz val="11"/>
      <color theme="1"/>
      <name val="Garamond"/>
      <family val="1"/>
    </font>
    <font>
      <sz val="11"/>
      <color theme="1"/>
      <name val="Garamond"/>
      <family val="1"/>
    </font>
    <font>
      <i/>
      <sz val="11"/>
      <color theme="1"/>
      <name val="Garamond"/>
      <family val="1"/>
    </font>
    <font>
      <sz val="12"/>
      <color theme="1"/>
      <name val="Garamond"/>
      <family val="1"/>
    </font>
    <font>
      <b/>
      <u/>
      <sz val="12"/>
      <color theme="0"/>
      <name val="Garamond"/>
      <family val="1"/>
    </font>
    <font>
      <b/>
      <sz val="12"/>
      <color theme="0"/>
      <name val="Garamond"/>
      <family val="1"/>
    </font>
    <font>
      <b/>
      <sz val="12"/>
      <color theme="1"/>
      <name val="Garamond"/>
      <family val="1"/>
    </font>
    <font>
      <b/>
      <i/>
      <sz val="12"/>
      <color theme="1"/>
      <name val="Garamond"/>
      <family val="1"/>
    </font>
    <font>
      <sz val="8"/>
      <name val="Arial"/>
      <family val="2"/>
    </font>
    <font>
      <sz val="12"/>
      <color theme="0"/>
      <name val="Garamond"/>
      <family val="1"/>
    </font>
    <font>
      <i/>
      <sz val="12"/>
      <color theme="0"/>
      <name val="Garamond"/>
      <family val="1"/>
    </font>
    <font>
      <sz val="11"/>
      <color theme="0"/>
      <name val="Calibri"/>
      <family val="2"/>
      <scheme val="minor"/>
    </font>
    <font>
      <sz val="10"/>
      <color theme="1"/>
      <name val="Garamond"/>
      <family val="1"/>
    </font>
    <font>
      <b/>
      <sz val="14"/>
      <color rgb="FFC0000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ill="0" applyBorder="0" applyAlignment="0" applyProtection="0"/>
    <xf numFmtId="166" fontId="2" fillId="0" borderId="0" applyFont="0" applyFill="0" applyBorder="0" applyAlignment="0" applyProtection="0"/>
    <xf numFmtId="0" fontId="16" fillId="0" borderId="0"/>
    <xf numFmtId="170" fontId="6" fillId="0" borderId="0" applyFont="0" applyFill="0" applyBorder="0" applyAlignment="0" applyProtection="0"/>
  </cellStyleXfs>
  <cellXfs count="233">
    <xf numFmtId="0" fontId="0" fillId="0" borderId="0" xfId="0"/>
    <xf numFmtId="0" fontId="7" fillId="0" borderId="0" xfId="0" applyFont="1"/>
    <xf numFmtId="0" fontId="9" fillId="0" borderId="0" xfId="0" applyFont="1"/>
    <xf numFmtId="3" fontId="9" fillId="0" borderId="0" xfId="0" applyNumberFormat="1" applyFont="1"/>
    <xf numFmtId="3" fontId="7" fillId="0" borderId="0" xfId="0" applyNumberFormat="1" applyFont="1"/>
    <xf numFmtId="0" fontId="9" fillId="0" borderId="1" xfId="0" applyFont="1" applyBorder="1"/>
    <xf numFmtId="3" fontId="9" fillId="0" borderId="1" xfId="0" applyNumberFormat="1" applyFont="1" applyBorder="1"/>
    <xf numFmtId="0" fontId="7" fillId="0" borderId="2" xfId="0" applyFont="1" applyBorder="1"/>
    <xf numFmtId="0" fontId="10" fillId="0" borderId="0" xfId="0" applyFont="1"/>
    <xf numFmtId="3" fontId="10" fillId="0" borderId="0" xfId="0" applyNumberFormat="1" applyFont="1"/>
    <xf numFmtId="4" fontId="9" fillId="0" borderId="0" xfId="0" applyNumberFormat="1" applyFont="1"/>
    <xf numFmtId="164" fontId="9" fillId="0" borderId="0" xfId="4" applyNumberFormat="1" applyFont="1"/>
    <xf numFmtId="4" fontId="7" fillId="0" borderId="0" xfId="0" applyNumberFormat="1" applyFont="1"/>
    <xf numFmtId="164" fontId="7" fillId="0" borderId="0" xfId="4" applyNumberFormat="1" applyFont="1"/>
    <xf numFmtId="0" fontId="9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2" borderId="3" xfId="0" applyFont="1" applyFill="1" applyBorder="1"/>
    <xf numFmtId="14" fontId="13" fillId="2" borderId="1" xfId="0" applyNumberFormat="1" applyFont="1" applyFill="1" applyBorder="1"/>
    <xf numFmtId="0" fontId="14" fillId="0" borderId="0" xfId="0" applyFont="1"/>
    <xf numFmtId="0" fontId="11" fillId="0" borderId="5" xfId="0" applyFont="1" applyBorder="1"/>
    <xf numFmtId="3" fontId="11" fillId="0" borderId="0" xfId="0" applyNumberFormat="1" applyFont="1" applyBorder="1"/>
    <xf numFmtId="0" fontId="11" fillId="0" borderId="5" xfId="0" applyFont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3" fontId="14" fillId="3" borderId="7" xfId="0" applyNumberFormat="1" applyFont="1" applyFill="1" applyBorder="1"/>
    <xf numFmtId="3" fontId="14" fillId="3" borderId="0" xfId="0" applyNumberFormat="1" applyFont="1" applyFill="1" applyBorder="1"/>
    <xf numFmtId="0" fontId="14" fillId="3" borderId="3" xfId="0" applyFont="1" applyFill="1" applyBorder="1"/>
    <xf numFmtId="3" fontId="14" fillId="3" borderId="1" xfId="0" applyNumberFormat="1" applyFont="1" applyFill="1" applyBorder="1"/>
    <xf numFmtId="0" fontId="15" fillId="0" borderId="0" xfId="0" applyFont="1"/>
    <xf numFmtId="3" fontId="11" fillId="0" borderId="0" xfId="0" applyNumberFormat="1" applyFont="1" applyFill="1" applyBorder="1"/>
    <xf numFmtId="3" fontId="11" fillId="0" borderId="6" xfId="0" applyNumberFormat="1" applyFont="1" applyFill="1" applyBorder="1"/>
    <xf numFmtId="3" fontId="11" fillId="0" borderId="0" xfId="0" applyNumberFormat="1" applyFont="1"/>
    <xf numFmtId="0" fontId="11" fillId="0" borderId="0" xfId="0" applyFont="1" applyBorder="1"/>
    <xf numFmtId="0" fontId="14" fillId="3" borderId="9" xfId="0" applyFont="1" applyFill="1" applyBorder="1"/>
    <xf numFmtId="3" fontId="14" fillId="3" borderId="10" xfId="0" applyNumberFormat="1" applyFont="1" applyFill="1" applyBorder="1"/>
    <xf numFmtId="3" fontId="11" fillId="0" borderId="12" xfId="0" applyNumberFormat="1" applyFont="1" applyBorder="1"/>
    <xf numFmtId="0" fontId="4" fillId="3" borderId="13" xfId="0" applyFont="1" applyFill="1" applyBorder="1"/>
    <xf numFmtId="3" fontId="4" fillId="3" borderId="2" xfId="0" applyNumberFormat="1" applyFont="1" applyFill="1" applyBorder="1"/>
    <xf numFmtId="165" fontId="11" fillId="0" borderId="0" xfId="0" applyNumberFormat="1" applyFont="1" applyBorder="1"/>
    <xf numFmtId="165" fontId="14" fillId="3" borderId="0" xfId="0" applyNumberFormat="1" applyFont="1" applyFill="1" applyBorder="1"/>
    <xf numFmtId="165" fontId="14" fillId="3" borderId="1" xfId="0" applyNumberFormat="1" applyFont="1" applyFill="1" applyBorder="1"/>
    <xf numFmtId="0" fontId="11" fillId="0" borderId="5" xfId="0" applyFont="1" applyFill="1" applyBorder="1"/>
    <xf numFmtId="0" fontId="14" fillId="3" borderId="13" xfId="0" applyFont="1" applyFill="1" applyBorder="1"/>
    <xf numFmtId="165" fontId="14" fillId="3" borderId="2" xfId="0" applyNumberFormat="1" applyFont="1" applyFill="1" applyBorder="1"/>
    <xf numFmtId="0" fontId="14" fillId="3" borderId="9" xfId="0" applyFont="1" applyFill="1" applyBorder="1" applyAlignment="1">
      <alignment horizontal="left"/>
    </xf>
    <xf numFmtId="165" fontId="14" fillId="3" borderId="10" xfId="0" applyNumberFormat="1" applyFont="1" applyFill="1" applyBorder="1"/>
    <xf numFmtId="0" fontId="14" fillId="3" borderId="5" xfId="0" applyFont="1" applyFill="1" applyBorder="1"/>
    <xf numFmtId="0" fontId="11" fillId="0" borderId="13" xfId="0" applyFont="1" applyBorder="1"/>
    <xf numFmtId="165" fontId="11" fillId="0" borderId="2" xfId="0" applyNumberFormat="1" applyFont="1" applyBorder="1"/>
    <xf numFmtId="0" fontId="11" fillId="3" borderId="1" xfId="0" applyFont="1" applyFill="1" applyBorder="1"/>
    <xf numFmtId="0" fontId="11" fillId="3" borderId="0" xfId="0" applyFont="1" applyFill="1" applyBorder="1"/>
    <xf numFmtId="0" fontId="11" fillId="3" borderId="2" xfId="0" applyFont="1" applyFill="1" applyBorder="1"/>
    <xf numFmtId="165" fontId="11" fillId="3" borderId="1" xfId="0" applyNumberFormat="1" applyFont="1" applyFill="1" applyBorder="1"/>
    <xf numFmtId="0" fontId="14" fillId="0" borderId="5" xfId="0" applyFont="1" applyBorder="1" applyAlignment="1">
      <alignment horizontal="left"/>
    </xf>
    <xf numFmtId="3" fontId="14" fillId="0" borderId="0" xfId="0" applyNumberFormat="1" applyFont="1" applyBorder="1"/>
    <xf numFmtId="3" fontId="14" fillId="3" borderId="2" xfId="0" applyNumberFormat="1" applyFont="1" applyFill="1" applyBorder="1"/>
    <xf numFmtId="3" fontId="11" fillId="0" borderId="14" xfId="0" applyNumberFormat="1" applyFont="1" applyBorder="1"/>
    <xf numFmtId="3" fontId="11" fillId="0" borderId="15" xfId="0" applyNumberFormat="1" applyFont="1" applyBorder="1"/>
    <xf numFmtId="3" fontId="14" fillId="0" borderId="14" xfId="0" applyNumberFormat="1" applyFont="1" applyBorder="1"/>
    <xf numFmtId="3" fontId="11" fillId="0" borderId="16" xfId="0" applyNumberFormat="1" applyFont="1" applyBorder="1"/>
    <xf numFmtId="3" fontId="11" fillId="0" borderId="12" xfId="0" applyNumberFormat="1" applyFont="1" applyFill="1" applyBorder="1"/>
    <xf numFmtId="3" fontId="11" fillId="0" borderId="14" xfId="0" applyNumberFormat="1" applyFont="1" applyFill="1" applyBorder="1"/>
    <xf numFmtId="3" fontId="11" fillId="0" borderId="15" xfId="0" applyNumberFormat="1" applyFont="1" applyFill="1" applyBorder="1"/>
    <xf numFmtId="2" fontId="7" fillId="0" borderId="0" xfId="4" applyNumberFormat="1" applyFont="1"/>
    <xf numFmtId="0" fontId="14" fillId="0" borderId="5" xfId="0" applyFont="1" applyBorder="1" applyAlignment="1">
      <alignment horizontal="left" indent="1"/>
    </xf>
    <xf numFmtId="0" fontId="11" fillId="0" borderId="5" xfId="0" applyFont="1" applyBorder="1" applyAlignment="1">
      <alignment horizontal="left" indent="1"/>
    </xf>
    <xf numFmtId="0" fontId="11" fillId="0" borderId="17" xfId="0" applyFont="1" applyBorder="1" applyAlignment="1">
      <alignment horizontal="left"/>
    </xf>
    <xf numFmtId="0" fontId="11" fillId="0" borderId="13" xfId="0" applyFont="1" applyFill="1" applyBorder="1"/>
    <xf numFmtId="0" fontId="14" fillId="5" borderId="3" xfId="0" applyFont="1" applyFill="1" applyBorder="1"/>
    <xf numFmtId="3" fontId="14" fillId="5" borderId="18" xfId="0" applyNumberFormat="1" applyFont="1" applyFill="1" applyBorder="1"/>
    <xf numFmtId="3" fontId="14" fillId="5" borderId="1" xfId="0" applyNumberFormat="1" applyFont="1" applyFill="1" applyBorder="1"/>
    <xf numFmtId="0" fontId="11" fillId="0" borderId="3" xfId="0" applyFont="1" applyBorder="1"/>
    <xf numFmtId="3" fontId="11" fillId="0" borderId="1" xfId="0" applyNumberFormat="1" applyFont="1" applyBorder="1"/>
    <xf numFmtId="0" fontId="14" fillId="0" borderId="0" xfId="0" applyFont="1" applyAlignment="1">
      <alignment horizontal="center"/>
    </xf>
    <xf numFmtId="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9" fontId="11" fillId="0" borderId="1" xfId="0" applyNumberFormat="1" applyFont="1" applyBorder="1" applyAlignment="1">
      <alignment horizontal="center"/>
    </xf>
    <xf numFmtId="9" fontId="11" fillId="0" borderId="4" xfId="0" applyNumberFormat="1" applyFont="1" applyBorder="1" applyAlignment="1">
      <alignment horizontal="center"/>
    </xf>
    <xf numFmtId="9" fontId="11" fillId="0" borderId="1" xfId="4" applyFont="1" applyBorder="1" applyAlignment="1">
      <alignment horizontal="center"/>
    </xf>
    <xf numFmtId="9" fontId="11" fillId="0" borderId="4" xfId="4" applyFont="1" applyBorder="1" applyAlignment="1">
      <alignment horizontal="center"/>
    </xf>
    <xf numFmtId="9" fontId="11" fillId="0" borderId="2" xfId="4" applyFont="1" applyBorder="1" applyAlignment="1">
      <alignment horizontal="center"/>
    </xf>
    <xf numFmtId="9" fontId="11" fillId="0" borderId="8" xfId="4" applyFont="1" applyBorder="1" applyAlignment="1">
      <alignment horizontal="center"/>
    </xf>
    <xf numFmtId="9" fontId="14" fillId="0" borderId="21" xfId="0" applyNumberFormat="1" applyFont="1" applyBorder="1" applyAlignment="1">
      <alignment horizontal="center"/>
    </xf>
    <xf numFmtId="9" fontId="14" fillId="0" borderId="20" xfId="0" applyNumberFormat="1" applyFont="1" applyBorder="1" applyAlignment="1">
      <alignment horizontal="center"/>
    </xf>
    <xf numFmtId="9" fontId="14" fillId="0" borderId="0" xfId="0" applyNumberFormat="1" applyFont="1" applyAlignment="1">
      <alignment horizontal="center"/>
    </xf>
    <xf numFmtId="9" fontId="11" fillId="0" borderId="0" xfId="0" applyNumberFormat="1" applyFont="1" applyBorder="1" applyAlignment="1">
      <alignment horizontal="center"/>
    </xf>
    <xf numFmtId="9" fontId="11" fillId="0" borderId="6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0" fontId="14" fillId="0" borderId="9" xfId="0" applyFont="1" applyBorder="1"/>
    <xf numFmtId="3" fontId="14" fillId="0" borderId="10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9" fontId="14" fillId="0" borderId="10" xfId="0" applyNumberFormat="1" applyFont="1" applyBorder="1" applyAlignment="1">
      <alignment horizontal="center"/>
    </xf>
    <xf numFmtId="9" fontId="14" fillId="0" borderId="11" xfId="0" applyNumberFormat="1" applyFont="1" applyBorder="1" applyAlignment="1">
      <alignment horizontal="center"/>
    </xf>
    <xf numFmtId="0" fontId="11" fillId="6" borderId="0" xfId="0" applyFont="1" applyFill="1"/>
    <xf numFmtId="0" fontId="14" fillId="0" borderId="3" xfId="0" applyFont="1" applyBorder="1" applyAlignment="1">
      <alignment horizontal="left" indent="1"/>
    </xf>
    <xf numFmtId="3" fontId="14" fillId="0" borderId="1" xfId="0" applyNumberFormat="1" applyFont="1" applyFill="1" applyBorder="1"/>
    <xf numFmtId="3" fontId="14" fillId="0" borderId="4" xfId="0" applyNumberFormat="1" applyFont="1" applyFill="1" applyBorder="1"/>
    <xf numFmtId="0" fontId="11" fillId="0" borderId="13" xfId="0" applyFont="1" applyBorder="1" applyAlignment="1">
      <alignment horizontal="left" indent="1"/>
    </xf>
    <xf numFmtId="3" fontId="11" fillId="0" borderId="2" xfId="0" applyNumberFormat="1" applyFont="1" applyFill="1" applyBorder="1"/>
    <xf numFmtId="3" fontId="11" fillId="0" borderId="8" xfId="0" applyNumberFormat="1" applyFont="1" applyFill="1" applyBorder="1"/>
    <xf numFmtId="0" fontId="14" fillId="0" borderId="9" xfId="0" quotePrefix="1" applyFont="1" applyBorder="1"/>
    <xf numFmtId="3" fontId="14" fillId="0" borderId="10" xfId="0" applyNumberFormat="1" applyFont="1" applyBorder="1"/>
    <xf numFmtId="3" fontId="14" fillId="0" borderId="11" xfId="0" applyNumberFormat="1" applyFont="1" applyBorder="1"/>
    <xf numFmtId="1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0" fontId="18" fillId="0" borderId="5" xfId="0" applyFont="1" applyBorder="1"/>
    <xf numFmtId="3" fontId="17" fillId="0" borderId="0" xfId="0" applyNumberFormat="1" applyFont="1" applyBorder="1"/>
    <xf numFmtId="3" fontId="18" fillId="0" borderId="0" xfId="0" applyNumberFormat="1" applyFont="1" applyFill="1" applyBorder="1" applyAlignment="1">
      <alignment horizontal="right"/>
    </xf>
    <xf numFmtId="3" fontId="14" fillId="0" borderId="12" xfId="0" applyNumberFormat="1" applyFont="1" applyFill="1" applyBorder="1"/>
    <xf numFmtId="3" fontId="14" fillId="0" borderId="22" xfId="0" applyNumberFormat="1" applyFont="1" applyFill="1" applyBorder="1"/>
    <xf numFmtId="165" fontId="11" fillId="0" borderId="12" xfId="0" applyNumberFormat="1" applyFont="1" applyBorder="1"/>
    <xf numFmtId="165" fontId="11" fillId="0" borderId="14" xfId="0" applyNumberFormat="1" applyFont="1" applyBorder="1" applyAlignment="1">
      <alignment horizontal="right"/>
    </xf>
    <xf numFmtId="165" fontId="11" fillId="0" borderId="14" xfId="0" applyNumberFormat="1" applyFont="1" applyBorder="1"/>
    <xf numFmtId="165" fontId="11" fillId="0" borderId="22" xfId="0" applyNumberFormat="1" applyFont="1" applyBorder="1"/>
    <xf numFmtId="165" fontId="11" fillId="0" borderId="15" xfId="0" applyNumberFormat="1" applyFont="1" applyBorder="1"/>
    <xf numFmtId="165" fontId="11" fillId="0" borderId="12" xfId="0" applyNumberFormat="1" applyFont="1" applyBorder="1" applyAlignment="1">
      <alignment horizontal="right"/>
    </xf>
    <xf numFmtId="165" fontId="11" fillId="0" borderId="18" xfId="0" applyNumberFormat="1" applyFont="1" applyBorder="1"/>
    <xf numFmtId="165" fontId="11" fillId="4" borderId="12" xfId="0" applyNumberFormat="1" applyFont="1" applyFill="1" applyBorder="1"/>
    <xf numFmtId="167" fontId="11" fillId="0" borderId="14" xfId="4" applyNumberFormat="1" applyFont="1" applyFill="1" applyBorder="1"/>
    <xf numFmtId="165" fontId="11" fillId="4" borderId="14" xfId="0" applyNumberFormat="1" applyFont="1" applyFill="1" applyBorder="1"/>
    <xf numFmtId="0" fontId="11" fillId="6" borderId="5" xfId="0" applyFont="1" applyFill="1" applyBorder="1" applyAlignment="1">
      <alignment horizontal="left"/>
    </xf>
    <xf numFmtId="165" fontId="11" fillId="6" borderId="0" xfId="0" applyNumberFormat="1" applyFont="1" applyFill="1" applyBorder="1"/>
    <xf numFmtId="165" fontId="11" fillId="4" borderId="15" xfId="0" applyNumberFormat="1" applyFont="1" applyFill="1" applyBorder="1"/>
    <xf numFmtId="0" fontId="11" fillId="0" borderId="23" xfId="0" applyFont="1" applyBorder="1" applyAlignment="1">
      <alignment horizontal="left" indent="1"/>
    </xf>
    <xf numFmtId="0" fontId="11" fillId="0" borderId="24" xfId="0" applyFont="1" applyBorder="1" applyAlignment="1">
      <alignment horizontal="left" indent="1"/>
    </xf>
    <xf numFmtId="3" fontId="11" fillId="0" borderId="22" xfId="0" applyNumberFormat="1" applyFont="1" applyBorder="1"/>
    <xf numFmtId="165" fontId="14" fillId="3" borderId="10" xfId="0" applyNumberFormat="1" applyFont="1" applyFill="1" applyBorder="1" applyAlignment="1">
      <alignment horizontal="right"/>
    </xf>
    <xf numFmtId="3" fontId="11" fillId="7" borderId="12" xfId="0" applyNumberFormat="1" applyFont="1" applyFill="1" applyBorder="1"/>
    <xf numFmtId="3" fontId="11" fillId="7" borderId="22" xfId="0" applyNumberFormat="1" applyFont="1" applyFill="1" applyBorder="1"/>
    <xf numFmtId="1" fontId="13" fillId="2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9" fontId="11" fillId="0" borderId="0" xfId="4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4" fontId="11" fillId="0" borderId="0" xfId="4" applyNumberFormat="1" applyFont="1" applyBorder="1" applyAlignment="1">
      <alignment horizontal="center"/>
    </xf>
    <xf numFmtId="167" fontId="11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3" fontId="11" fillId="0" borderId="22" xfId="0" applyNumberFormat="1" applyFont="1" applyFill="1" applyBorder="1"/>
    <xf numFmtId="1" fontId="13" fillId="2" borderId="1" xfId="0" applyNumberFormat="1" applyFont="1" applyFill="1" applyBorder="1" applyAlignment="1">
      <alignment horizontal="right"/>
    </xf>
    <xf numFmtId="3" fontId="7" fillId="3" borderId="0" xfId="0" applyNumberFormat="1" applyFont="1" applyFill="1" applyBorder="1"/>
    <xf numFmtId="0" fontId="8" fillId="3" borderId="5" xfId="0" applyFont="1" applyFill="1" applyBorder="1"/>
    <xf numFmtId="164" fontId="8" fillId="3" borderId="0" xfId="4" applyNumberFormat="1" applyFont="1" applyFill="1" applyBorder="1"/>
    <xf numFmtId="0" fontId="8" fillId="5" borderId="5" xfId="0" applyFont="1" applyFill="1" applyBorder="1"/>
    <xf numFmtId="3" fontId="7" fillId="5" borderId="12" xfId="0" applyNumberFormat="1" applyFont="1" applyFill="1" applyBorder="1"/>
    <xf numFmtId="164" fontId="8" fillId="5" borderId="0" xfId="4" applyNumberFormat="1" applyFont="1" applyFill="1" applyBorder="1"/>
    <xf numFmtId="0" fontId="8" fillId="3" borderId="13" xfId="0" applyFont="1" applyFill="1" applyBorder="1"/>
    <xf numFmtId="164" fontId="8" fillId="3" borderId="2" xfId="4" applyNumberFormat="1" applyFont="1" applyFill="1" applyBorder="1"/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0" fontId="11" fillId="0" borderId="9" xfId="0" applyFont="1" applyBorder="1"/>
    <xf numFmtId="164" fontId="14" fillId="0" borderId="10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9" fontId="14" fillId="0" borderId="19" xfId="0" applyNumberFormat="1" applyFont="1" applyBorder="1" applyAlignment="1">
      <alignment horizontal="center"/>
    </xf>
    <xf numFmtId="9" fontId="11" fillId="0" borderId="10" xfId="4" applyFont="1" applyBorder="1" applyAlignment="1">
      <alignment horizontal="center"/>
    </xf>
    <xf numFmtId="9" fontId="11" fillId="0" borderId="11" xfId="4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7" fontId="11" fillId="0" borderId="4" xfId="0" applyNumberFormat="1" applyFont="1" applyBorder="1" applyAlignment="1">
      <alignment horizontal="center"/>
    </xf>
    <xf numFmtId="167" fontId="11" fillId="0" borderId="8" xfId="0" applyNumberFormat="1" applyFont="1" applyBorder="1" applyAlignment="1">
      <alignment horizontal="center"/>
    </xf>
    <xf numFmtId="1" fontId="13" fillId="2" borderId="4" xfId="0" applyNumberFormat="1" applyFont="1" applyFill="1" applyBorder="1" applyAlignment="1">
      <alignment horizontal="right"/>
    </xf>
    <xf numFmtId="3" fontId="11" fillId="0" borderId="6" xfId="0" applyNumberFormat="1" applyFont="1" applyBorder="1"/>
    <xf numFmtId="3" fontId="11" fillId="0" borderId="25" xfId="0" applyNumberFormat="1" applyFont="1" applyBorder="1"/>
    <xf numFmtId="3" fontId="11" fillId="0" borderId="26" xfId="0" applyNumberFormat="1" applyFont="1" applyBorder="1"/>
    <xf numFmtId="3" fontId="14" fillId="3" borderId="6" xfId="0" applyNumberFormat="1" applyFont="1" applyFill="1" applyBorder="1"/>
    <xf numFmtId="3" fontId="11" fillId="0" borderId="27" xfId="0" applyNumberFormat="1" applyFont="1" applyBorder="1"/>
    <xf numFmtId="164" fontId="8" fillId="3" borderId="6" xfId="4" applyNumberFormat="1" applyFont="1" applyFill="1" applyBorder="1"/>
    <xf numFmtId="3" fontId="14" fillId="3" borderId="4" xfId="0" applyNumberFormat="1" applyFont="1" applyFill="1" applyBorder="1"/>
    <xf numFmtId="3" fontId="11" fillId="0" borderId="27" xfId="0" applyNumberFormat="1" applyFont="1" applyFill="1" applyBorder="1"/>
    <xf numFmtId="3" fontId="14" fillId="5" borderId="4" xfId="0" applyNumberFormat="1" applyFont="1" applyFill="1" applyBorder="1"/>
    <xf numFmtId="164" fontId="8" fillId="5" borderId="6" xfId="4" applyNumberFormat="1" applyFont="1" applyFill="1" applyBorder="1"/>
    <xf numFmtId="3" fontId="11" fillId="0" borderId="28" xfId="0" applyNumberFormat="1" applyFont="1" applyFill="1" applyBorder="1"/>
    <xf numFmtId="164" fontId="8" fillId="3" borderId="8" xfId="4" applyNumberFormat="1" applyFont="1" applyFill="1" applyBorder="1"/>
    <xf numFmtId="3" fontId="14" fillId="3" borderId="8" xfId="0" applyNumberFormat="1" applyFont="1" applyFill="1" applyBorder="1"/>
    <xf numFmtId="3" fontId="14" fillId="0" borderId="25" xfId="0" applyNumberFormat="1" applyFont="1" applyBorder="1"/>
    <xf numFmtId="3" fontId="14" fillId="0" borderId="28" xfId="0" applyNumberFormat="1" applyFont="1" applyFill="1" applyBorder="1"/>
    <xf numFmtId="3" fontId="11" fillId="0" borderId="25" xfId="0" applyNumberFormat="1" applyFont="1" applyFill="1" applyBorder="1"/>
    <xf numFmtId="3" fontId="14" fillId="0" borderId="29" xfId="0" applyNumberFormat="1" applyFont="1" applyFill="1" applyBorder="1"/>
    <xf numFmtId="3" fontId="11" fillId="0" borderId="29" xfId="0" applyNumberFormat="1" applyFont="1" applyFill="1" applyBorder="1"/>
    <xf numFmtId="3" fontId="18" fillId="0" borderId="6" xfId="0" applyNumberFormat="1" applyFont="1" applyFill="1" applyBorder="1" applyAlignment="1">
      <alignment horizontal="right"/>
    </xf>
    <xf numFmtId="3" fontId="11" fillId="0" borderId="4" xfId="0" applyNumberFormat="1" applyFont="1" applyBorder="1"/>
    <xf numFmtId="165" fontId="11" fillId="4" borderId="28" xfId="0" applyNumberFormat="1" applyFont="1" applyFill="1" applyBorder="1"/>
    <xf numFmtId="165" fontId="11" fillId="4" borderId="25" xfId="0" applyNumberFormat="1" applyFont="1" applyFill="1" applyBorder="1"/>
    <xf numFmtId="165" fontId="11" fillId="0" borderId="25" xfId="0" applyNumberFormat="1" applyFont="1" applyBorder="1"/>
    <xf numFmtId="165" fontId="11" fillId="6" borderId="6" xfId="0" applyNumberFormat="1" applyFont="1" applyFill="1" applyBorder="1"/>
    <xf numFmtId="165" fontId="11" fillId="0" borderId="28" xfId="0" applyNumberFormat="1" applyFont="1" applyBorder="1"/>
    <xf numFmtId="165" fontId="11" fillId="0" borderId="29" xfId="0" applyNumberFormat="1" applyFont="1" applyBorder="1"/>
    <xf numFmtId="0" fontId="11" fillId="3" borderId="4" xfId="0" applyFont="1" applyFill="1" applyBorder="1"/>
    <xf numFmtId="0" fontId="11" fillId="3" borderId="6" xfId="0" applyFont="1" applyFill="1" applyBorder="1"/>
    <xf numFmtId="0" fontId="11" fillId="3" borderId="8" xfId="0" applyFont="1" applyFill="1" applyBorder="1"/>
    <xf numFmtId="165" fontId="11" fillId="0" borderId="25" xfId="0" applyNumberFormat="1" applyFont="1" applyBorder="1" applyAlignment="1">
      <alignment horizontal="right"/>
    </xf>
    <xf numFmtId="165" fontId="11" fillId="0" borderId="27" xfId="0" applyNumberFormat="1" applyFont="1" applyBorder="1"/>
    <xf numFmtId="165" fontId="14" fillId="3" borderId="11" xfId="0" applyNumberFormat="1" applyFont="1" applyFill="1" applyBorder="1"/>
    <xf numFmtId="165" fontId="11" fillId="0" borderId="30" xfId="0" applyNumberFormat="1" applyFont="1" applyBorder="1"/>
    <xf numFmtId="165" fontId="14" fillId="3" borderId="6" xfId="0" applyNumberFormat="1" applyFont="1" applyFill="1" applyBorder="1"/>
    <xf numFmtId="165" fontId="11" fillId="3" borderId="4" xfId="0" applyNumberFormat="1" applyFont="1" applyFill="1" applyBorder="1"/>
    <xf numFmtId="165" fontId="14" fillId="3" borderId="8" xfId="0" applyNumberFormat="1" applyFont="1" applyFill="1" applyBorder="1"/>
    <xf numFmtId="3" fontId="11" fillId="4" borderId="12" xfId="0" applyNumberFormat="1" applyFont="1" applyFill="1" applyBorder="1"/>
    <xf numFmtId="3" fontId="11" fillId="0" borderId="14" xfId="4" applyNumberFormat="1" applyFont="1" applyFill="1" applyBorder="1"/>
    <xf numFmtId="3" fontId="11" fillId="4" borderId="14" xfId="0" applyNumberFormat="1" applyFont="1" applyFill="1" applyBorder="1"/>
    <xf numFmtId="3" fontId="11" fillId="0" borderId="25" xfId="4" applyNumberFormat="1" applyFont="1" applyFill="1" applyBorder="1"/>
    <xf numFmtId="3" fontId="11" fillId="4" borderId="25" xfId="0" applyNumberFormat="1" applyFont="1" applyFill="1" applyBorder="1"/>
    <xf numFmtId="165" fontId="11" fillId="0" borderId="27" xfId="0" applyNumberFormat="1" applyFont="1" applyBorder="1" applyAlignment="1">
      <alignment horizontal="right"/>
    </xf>
    <xf numFmtId="165" fontId="14" fillId="3" borderId="0" xfId="0" applyNumberFormat="1" applyFont="1" applyFill="1" applyBorder="1" applyAlignment="1">
      <alignment horizontal="right"/>
    </xf>
    <xf numFmtId="165" fontId="14" fillId="3" borderId="2" xfId="0" applyNumberFormat="1" applyFont="1" applyFill="1" applyBorder="1" applyAlignment="1">
      <alignment horizontal="right"/>
    </xf>
    <xf numFmtId="165" fontId="11" fillId="3" borderId="1" xfId="0" applyNumberFormat="1" applyFont="1" applyFill="1" applyBorder="1" applyAlignment="1">
      <alignment horizontal="right"/>
    </xf>
    <xf numFmtId="165" fontId="11" fillId="4" borderId="12" xfId="0" applyNumberFormat="1" applyFont="1" applyFill="1" applyBorder="1" applyAlignment="1">
      <alignment horizontal="right"/>
    </xf>
    <xf numFmtId="165" fontId="11" fillId="4" borderId="28" xfId="0" applyNumberFormat="1" applyFont="1" applyFill="1" applyBorder="1" applyAlignment="1">
      <alignment horizontal="right"/>
    </xf>
    <xf numFmtId="169" fontId="11" fillId="4" borderId="14" xfId="0" applyNumberFormat="1" applyFont="1" applyFill="1" applyBorder="1" applyAlignment="1">
      <alignment horizontal="right"/>
    </xf>
    <xf numFmtId="169" fontId="11" fillId="4" borderId="25" xfId="0" applyNumberFormat="1" applyFont="1" applyFill="1" applyBorder="1" applyAlignment="1">
      <alignment horizontal="right"/>
    </xf>
    <xf numFmtId="169" fontId="11" fillId="4" borderId="15" xfId="0" applyNumberFormat="1" applyFont="1" applyFill="1" applyBorder="1" applyAlignment="1">
      <alignment horizontal="right"/>
    </xf>
    <xf numFmtId="169" fontId="11" fillId="4" borderId="27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20" fillId="3" borderId="3" xfId="0" applyFont="1" applyFill="1" applyBorder="1"/>
    <xf numFmtId="0" fontId="20" fillId="3" borderId="5" xfId="0" applyFont="1" applyFill="1" applyBorder="1"/>
    <xf numFmtId="0" fontId="20" fillId="3" borderId="13" xfId="0" applyFont="1" applyFill="1" applyBorder="1"/>
    <xf numFmtId="0" fontId="21" fillId="0" borderId="0" xfId="0" applyFont="1"/>
  </cellXfs>
  <cellStyles count="9">
    <cellStyle name="Milliers 2" xfId="6" xr:uid="{9D3027ED-AE82-BA4C-8B95-983CDEAB80EC}"/>
    <cellStyle name="Milliers 2 2" xfId="8" xr:uid="{5C9B8B2C-A7F2-934D-BE73-367B8E2DB087}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7" xr:uid="{5F1DA66C-9203-AA49-BB96-E5A0EB48648B}"/>
    <cellStyle name="Pourcentage" xfId="4" builtinId="5"/>
    <cellStyle name="Pourcentage 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Ratio!$B$46</c:f>
              <c:strCache>
                <c:ptCount val="1"/>
                <c:pt idx="0">
                  <c:v>Chiffre d'affaires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Ratio!$C$45:$AG$45</c:f>
              <c:numCache>
                <c:formatCode>General</c:formatCode>
                <c:ptCount val="3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</c:numCache>
            </c:numRef>
          </c:cat>
          <c:val>
            <c:numRef>
              <c:f>Ratio!$C$46:$AG$46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F8-2C45-B91B-CF0B9163BA31}"/>
            </c:ext>
          </c:extLst>
        </c:ser>
        <c:ser>
          <c:idx val="1"/>
          <c:order val="1"/>
          <c:tx>
            <c:strRef>
              <c:f>Ratio!$B$47</c:f>
              <c:strCache>
                <c:ptCount val="1"/>
                <c:pt idx="0">
                  <c:v>EBITDA (EBE)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Ratio!$C$45:$AG$45</c:f>
              <c:numCache>
                <c:formatCode>General</c:formatCode>
                <c:ptCount val="3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</c:numCache>
            </c:numRef>
          </c:cat>
          <c:val>
            <c:numRef>
              <c:f>Ratio!$C$47:$AG$47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8-2C45-B91B-CF0B9163BA31}"/>
            </c:ext>
          </c:extLst>
        </c:ser>
        <c:ser>
          <c:idx val="2"/>
          <c:order val="2"/>
          <c:tx>
            <c:strRef>
              <c:f>Ratio!$B$48</c:f>
              <c:strCache>
                <c:ptCount val="1"/>
                <c:pt idx="0">
                  <c:v>Résultat Net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Ratio!$C$45:$AG$45</c:f>
              <c:numCache>
                <c:formatCode>General</c:formatCode>
                <c:ptCount val="3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</c:numCache>
            </c:numRef>
          </c:cat>
          <c:val>
            <c:numRef>
              <c:f>Ratio!$C$48:$AG$48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F8-2C45-B91B-CF0B9163B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034832"/>
        <c:axId val="1"/>
      </c:lineChart>
      <c:catAx>
        <c:axId val="109103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910348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728665983086243"/>
          <c:y val="0.38490406506242769"/>
          <c:w val="8.3671991962179532E-2"/>
          <c:h val="0.190653415404753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48</xdr:row>
      <xdr:rowOff>101600</xdr:rowOff>
    </xdr:from>
    <xdr:to>
      <xdr:col>10</xdr:col>
      <xdr:colOff>431800</xdr:colOff>
      <xdr:row>67</xdr:row>
      <xdr:rowOff>12700</xdr:rowOff>
    </xdr:to>
    <xdr:graphicFrame macro="">
      <xdr:nvGraphicFramePr>
        <xdr:cNvPr id="2293" name="Graphique 1">
          <a:extLst>
            <a:ext uri="{FF2B5EF4-FFF2-40B4-BE49-F238E27FC236}">
              <a16:creationId xmlns:a16="http://schemas.microsoft.com/office/drawing/2014/main" id="{2F29E833-2627-404F-BDC2-50650138EA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520700</xdr:colOff>
      <xdr:row>15</xdr:row>
      <xdr:rowOff>152400</xdr:rowOff>
    </xdr:from>
    <xdr:to>
      <xdr:col>23</xdr:col>
      <xdr:colOff>228600</xdr:colOff>
      <xdr:row>25</xdr:row>
      <xdr:rowOff>25400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C3CCC4C-335B-9040-8FE7-C4B71A9F4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47200" y="2794000"/>
          <a:ext cx="7962900" cy="1905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381000</xdr:colOff>
      <xdr:row>2</xdr:row>
      <xdr:rowOff>139700</xdr:rowOff>
    </xdr:from>
    <xdr:to>
      <xdr:col>23</xdr:col>
      <xdr:colOff>88900</xdr:colOff>
      <xdr:row>13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027A442-B64D-0841-B4A3-63A57E8BA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01200" y="546100"/>
          <a:ext cx="7962900" cy="2247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zahaji/Desktop/Hamza%2020.08.2019/WARA/2019/CBI%20CI/production%20analytique/post%20revue%20boss/B12-CBI%20CI%20Spreads%20au%2031-12-2018%20-%20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H52"/>
  <sheetViews>
    <sheetView zoomScale="90" zoomScaleNormal="90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C27" sqref="C27"/>
    </sheetView>
  </sheetViews>
  <sheetFormatPr baseColWidth="10" defaultColWidth="11.42578125" defaultRowHeight="15" x14ac:dyDescent="0.25"/>
  <cols>
    <col min="1" max="1" width="2.7109375" style="2" customWidth="1"/>
    <col min="2" max="2" width="28.7109375" style="2" bestFit="1" customWidth="1"/>
    <col min="3" max="34" width="16.7109375" style="2" customWidth="1"/>
    <col min="35" max="16384" width="11.42578125" style="2"/>
  </cols>
  <sheetData>
    <row r="2" spans="2:8" s="1" customFormat="1" x14ac:dyDescent="0.25">
      <c r="C2" s="1">
        <v>2013</v>
      </c>
      <c r="D2" s="7">
        <v>2014</v>
      </c>
      <c r="E2" s="7">
        <v>2015</v>
      </c>
      <c r="F2" s="7">
        <v>2016</v>
      </c>
      <c r="G2" s="7">
        <v>2017</v>
      </c>
      <c r="H2" s="7">
        <v>2018</v>
      </c>
    </row>
    <row r="3" spans="2:8" x14ac:dyDescent="0.25">
      <c r="B3" s="5"/>
      <c r="C3" s="6"/>
      <c r="D3" s="6"/>
    </row>
    <row r="4" spans="2:8" s="8" customFormat="1" x14ac:dyDescent="0.25">
      <c r="B4" s="8" t="s">
        <v>27</v>
      </c>
      <c r="C4" s="9" t="e">
        <f>#REF!</f>
        <v>#REF!</v>
      </c>
      <c r="D4" s="9" t="e">
        <f>#REF!</f>
        <v>#REF!</v>
      </c>
      <c r="E4" s="9" t="e">
        <f>#REF!</f>
        <v>#REF!</v>
      </c>
      <c r="F4" s="9" t="e">
        <f>#REF!</f>
        <v>#REF!</v>
      </c>
      <c r="G4" s="9" t="e">
        <f>#REF!</f>
        <v>#REF!</v>
      </c>
      <c r="H4" s="9" t="e">
        <f>#REF!</f>
        <v>#REF!</v>
      </c>
    </row>
    <row r="5" spans="2:8" s="8" customFormat="1" x14ac:dyDescent="0.25">
      <c r="B5" s="8" t="s">
        <v>28</v>
      </c>
      <c r="C5" s="9" t="e">
        <f>#REF!</f>
        <v>#REF!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</row>
    <row r="6" spans="2:8" s="8" customFormat="1" x14ac:dyDescent="0.25">
      <c r="B6" s="8" t="s">
        <v>29</v>
      </c>
      <c r="C6" s="9" t="e">
        <f>#REF!</f>
        <v>#REF!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</row>
    <row r="7" spans="2:8" s="8" customFormat="1" x14ac:dyDescent="0.25">
      <c r="B7" s="8" t="s">
        <v>30</v>
      </c>
      <c r="C7" s="9" t="e">
        <f>#REF!</f>
        <v>#REF!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</row>
    <row r="8" spans="2:8" x14ac:dyDescent="0.25">
      <c r="C8" s="3"/>
      <c r="D8" s="3"/>
      <c r="E8" s="3"/>
      <c r="F8" s="3"/>
    </row>
    <row r="9" spans="2:8" x14ac:dyDescent="0.25">
      <c r="C9" s="3"/>
      <c r="D9" s="3"/>
      <c r="E9" s="3"/>
      <c r="F9" s="3"/>
    </row>
    <row r="10" spans="2:8" x14ac:dyDescent="0.25">
      <c r="B10" s="2" t="s">
        <v>31</v>
      </c>
      <c r="C10" s="10" t="e">
        <f t="shared" ref="C10:H10" si="0">C4/C5</f>
        <v>#REF!</v>
      </c>
      <c r="D10" s="10" t="e">
        <f t="shared" si="0"/>
        <v>#REF!</v>
      </c>
      <c r="E10" s="10" t="e">
        <f t="shared" si="0"/>
        <v>#REF!</v>
      </c>
      <c r="F10" s="10" t="e">
        <f t="shared" si="0"/>
        <v>#REF!</v>
      </c>
      <c r="G10" s="10" t="e">
        <f t="shared" si="0"/>
        <v>#REF!</v>
      </c>
      <c r="H10" s="10" t="e">
        <f t="shared" si="0"/>
        <v>#REF!</v>
      </c>
    </row>
    <row r="11" spans="2:8" x14ac:dyDescent="0.25">
      <c r="B11" s="2" t="s">
        <v>32</v>
      </c>
      <c r="C11" s="11" t="e">
        <f t="shared" ref="C11:H11" si="1">C10</f>
        <v>#REF!</v>
      </c>
      <c r="D11" s="11" t="e">
        <f t="shared" si="1"/>
        <v>#REF!</v>
      </c>
      <c r="E11" s="11" t="e">
        <f t="shared" si="1"/>
        <v>#REF!</v>
      </c>
      <c r="F11" s="11" t="e">
        <f t="shared" si="1"/>
        <v>#REF!</v>
      </c>
      <c r="G11" s="11" t="e">
        <f t="shared" si="1"/>
        <v>#REF!</v>
      </c>
      <c r="H11" s="11" t="e">
        <f t="shared" si="1"/>
        <v>#REF!</v>
      </c>
    </row>
    <row r="12" spans="2:8" x14ac:dyDescent="0.25">
      <c r="C12" s="3"/>
      <c r="D12" s="3"/>
      <c r="E12" s="3"/>
      <c r="F12" s="3"/>
    </row>
    <row r="13" spans="2:8" x14ac:dyDescent="0.25">
      <c r="B13" s="2" t="s">
        <v>33</v>
      </c>
      <c r="C13" s="10" t="e">
        <f t="shared" ref="C13:H13" si="2">C5/C6</f>
        <v>#REF!</v>
      </c>
      <c r="D13" s="10" t="e">
        <f t="shared" si="2"/>
        <v>#REF!</v>
      </c>
      <c r="E13" s="10" t="e">
        <f t="shared" si="2"/>
        <v>#REF!</v>
      </c>
      <c r="F13" s="10" t="e">
        <f t="shared" si="2"/>
        <v>#REF!</v>
      </c>
      <c r="G13" s="10" t="e">
        <f t="shared" si="2"/>
        <v>#REF!</v>
      </c>
      <c r="H13" s="10" t="e">
        <f t="shared" si="2"/>
        <v>#REF!</v>
      </c>
    </row>
    <row r="14" spans="2:8" x14ac:dyDescent="0.25">
      <c r="C14" s="3"/>
      <c r="D14" s="3"/>
      <c r="E14" s="3"/>
      <c r="F14" s="3"/>
      <c r="G14" s="3"/>
      <c r="H14" s="3"/>
    </row>
    <row r="15" spans="2:8" x14ac:dyDescent="0.25">
      <c r="C15" s="3"/>
      <c r="D15" s="3"/>
      <c r="E15" s="3"/>
      <c r="F15" s="3"/>
      <c r="G15" s="3"/>
      <c r="H15" s="3"/>
    </row>
    <row r="16" spans="2:8" x14ac:dyDescent="0.25">
      <c r="B16" s="2" t="s">
        <v>34</v>
      </c>
      <c r="C16" s="10" t="e">
        <f t="shared" ref="C16:H16" si="3">C6/C7</f>
        <v>#REF!</v>
      </c>
      <c r="D16" s="10" t="e">
        <f t="shared" si="3"/>
        <v>#REF!</v>
      </c>
      <c r="E16" s="10" t="e">
        <f t="shared" si="3"/>
        <v>#REF!</v>
      </c>
      <c r="F16" s="10" t="e">
        <f t="shared" si="3"/>
        <v>#REF!</v>
      </c>
      <c r="G16" s="10" t="e">
        <f t="shared" si="3"/>
        <v>#REF!</v>
      </c>
      <c r="H16" s="10" t="e">
        <f t="shared" si="3"/>
        <v>#REF!</v>
      </c>
    </row>
    <row r="17" spans="2:8" x14ac:dyDescent="0.25">
      <c r="C17" s="3"/>
      <c r="D17" s="3"/>
      <c r="E17" s="3"/>
      <c r="F17" s="3"/>
      <c r="G17" s="3"/>
      <c r="H17" s="3"/>
    </row>
    <row r="18" spans="2:8" x14ac:dyDescent="0.25">
      <c r="C18" s="3"/>
      <c r="D18" s="3"/>
      <c r="E18" s="3"/>
      <c r="F18" s="3"/>
      <c r="G18" s="3"/>
      <c r="H18" s="3"/>
    </row>
    <row r="19" spans="2:8" s="1" customFormat="1" x14ac:dyDescent="0.25">
      <c r="B19" s="1" t="s">
        <v>35</v>
      </c>
      <c r="C19" s="12" t="e">
        <f t="shared" ref="C19:H19" si="4">C16*C13*C10</f>
        <v>#REF!</v>
      </c>
      <c r="D19" s="12" t="e">
        <f t="shared" si="4"/>
        <v>#REF!</v>
      </c>
      <c r="E19" s="12" t="e">
        <f t="shared" si="4"/>
        <v>#REF!</v>
      </c>
      <c r="F19" s="12" t="e">
        <f t="shared" si="4"/>
        <v>#REF!</v>
      </c>
      <c r="G19" s="12" t="e">
        <f t="shared" si="4"/>
        <v>#REF!</v>
      </c>
      <c r="H19" s="12" t="e">
        <f t="shared" si="4"/>
        <v>#REF!</v>
      </c>
    </row>
    <row r="20" spans="2:8" s="1" customFormat="1" x14ac:dyDescent="0.25">
      <c r="B20" s="1" t="s">
        <v>32</v>
      </c>
      <c r="C20" s="13" t="e">
        <f t="shared" ref="C20:H20" si="5">C19</f>
        <v>#REF!</v>
      </c>
      <c r="D20" s="13" t="e">
        <f t="shared" si="5"/>
        <v>#REF!</v>
      </c>
      <c r="E20" s="13" t="e">
        <f t="shared" si="5"/>
        <v>#REF!</v>
      </c>
      <c r="F20" s="13" t="e">
        <f t="shared" si="5"/>
        <v>#REF!</v>
      </c>
      <c r="G20" s="13" t="e">
        <f t="shared" si="5"/>
        <v>#REF!</v>
      </c>
      <c r="H20" s="13" t="e">
        <f t="shared" si="5"/>
        <v>#REF!</v>
      </c>
    </row>
    <row r="21" spans="2:8" x14ac:dyDescent="0.25">
      <c r="C21" s="3"/>
      <c r="D21" s="3"/>
    </row>
    <row r="22" spans="2:8" x14ac:dyDescent="0.25">
      <c r="C22" s="3"/>
      <c r="D22" s="3"/>
    </row>
    <row r="23" spans="2:8" x14ac:dyDescent="0.25">
      <c r="C23" s="3"/>
      <c r="D23" s="3"/>
    </row>
    <row r="24" spans="2:8" x14ac:dyDescent="0.25">
      <c r="C24" s="3"/>
      <c r="D24" s="3"/>
    </row>
    <row r="25" spans="2:8" s="8" customFormat="1" x14ac:dyDescent="0.25">
      <c r="B25" s="8" t="s">
        <v>36</v>
      </c>
      <c r="C25" s="9" t="e">
        <f>#REF!</f>
        <v>#REF!</v>
      </c>
      <c r="D25" s="9" t="e">
        <f>#REF!</f>
        <v>#REF!</v>
      </c>
      <c r="E25" s="9" t="e">
        <f>#REF!</f>
        <v>#REF!</v>
      </c>
      <c r="F25" s="9" t="e">
        <f>#REF!</f>
        <v>#REF!</v>
      </c>
      <c r="G25" s="9" t="e">
        <f>#REF!</f>
        <v>#REF!</v>
      </c>
      <c r="H25" s="9" t="e">
        <f>#REF!</f>
        <v>#REF!</v>
      </c>
    </row>
    <row r="26" spans="2:8" s="8" customFormat="1" x14ac:dyDescent="0.25">
      <c r="B26" s="8" t="s">
        <v>37</v>
      </c>
      <c r="C26" s="9" t="e">
        <f>#REF!</f>
        <v>#REF!</v>
      </c>
      <c r="D26" s="9" t="e">
        <f>#REF!</f>
        <v>#REF!</v>
      </c>
      <c r="E26" s="9" t="e">
        <f>#REF!</f>
        <v>#REF!</v>
      </c>
      <c r="F26" s="9" t="e">
        <f>#REF!</f>
        <v>#REF!</v>
      </c>
      <c r="G26" s="9" t="e">
        <f>#REF!</f>
        <v>#REF!</v>
      </c>
      <c r="H26" s="9" t="e">
        <f>#REF!</f>
        <v>#REF!</v>
      </c>
    </row>
    <row r="27" spans="2:8" s="8" customFormat="1" x14ac:dyDescent="0.25">
      <c r="B27" s="8" t="s">
        <v>40</v>
      </c>
      <c r="C27" s="9" t="e">
        <f>#REF!</f>
        <v>#REF!</v>
      </c>
      <c r="D27" s="9" t="e">
        <f>#REF!</f>
        <v>#REF!</v>
      </c>
      <c r="E27" s="9" t="e">
        <f>#REF!</f>
        <v>#REF!</v>
      </c>
      <c r="F27" s="9" t="e">
        <f>#REF!</f>
        <v>#REF!</v>
      </c>
      <c r="G27" s="9" t="e">
        <f>#REF!</f>
        <v>#REF!</v>
      </c>
      <c r="H27" s="9" t="e">
        <f>#REF!</f>
        <v>#REF!</v>
      </c>
    </row>
    <row r="28" spans="2:8" x14ac:dyDescent="0.25">
      <c r="C28" s="3"/>
      <c r="D28" s="3"/>
      <c r="E28" s="3"/>
      <c r="F28" s="3"/>
      <c r="G28" s="3"/>
      <c r="H28" s="3"/>
    </row>
    <row r="29" spans="2:8" s="1" customFormat="1" x14ac:dyDescent="0.25">
      <c r="B29" s="1" t="s">
        <v>38</v>
      </c>
      <c r="C29" s="4" t="e">
        <f t="shared" ref="C29:H29" si="6">C25/C26</f>
        <v>#REF!</v>
      </c>
      <c r="D29" s="4" t="e">
        <f t="shared" si="6"/>
        <v>#REF!</v>
      </c>
      <c r="E29" s="4" t="e">
        <f t="shared" si="6"/>
        <v>#REF!</v>
      </c>
      <c r="F29" s="4" t="e">
        <f t="shared" si="6"/>
        <v>#REF!</v>
      </c>
      <c r="G29" s="4" t="e">
        <f t="shared" si="6"/>
        <v>#REF!</v>
      </c>
      <c r="H29" s="4" t="e">
        <f t="shared" si="6"/>
        <v>#REF!</v>
      </c>
    </row>
    <row r="30" spans="2:8" s="1" customFormat="1" x14ac:dyDescent="0.25">
      <c r="B30" s="1" t="s">
        <v>41</v>
      </c>
      <c r="C30" s="64" t="e">
        <f t="shared" ref="C30:H30" si="7">C27/C25</f>
        <v>#REF!</v>
      </c>
      <c r="D30" s="64" t="e">
        <f t="shared" si="7"/>
        <v>#REF!</v>
      </c>
      <c r="E30" s="64" t="e">
        <f t="shared" si="7"/>
        <v>#REF!</v>
      </c>
      <c r="F30" s="64" t="e">
        <f t="shared" si="7"/>
        <v>#REF!</v>
      </c>
      <c r="G30" s="64" t="e">
        <f t="shared" si="7"/>
        <v>#REF!</v>
      </c>
      <c r="H30" s="64" t="e">
        <f t="shared" si="7"/>
        <v>#REF!</v>
      </c>
    </row>
    <row r="31" spans="2:8" x14ac:dyDescent="0.25">
      <c r="C31" s="3"/>
      <c r="D31" s="3"/>
    </row>
    <row r="32" spans="2:8" x14ac:dyDescent="0.25">
      <c r="C32" s="3"/>
      <c r="D32" s="3"/>
    </row>
    <row r="33" spans="2:33" x14ac:dyDescent="0.25">
      <c r="B33" s="14" t="s">
        <v>40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3" t="e">
        <f>#REF!</f>
        <v>#REF!</v>
      </c>
    </row>
    <row r="34" spans="2:33" x14ac:dyDescent="0.25">
      <c r="B34" s="14" t="s">
        <v>42</v>
      </c>
      <c r="C34" s="3" t="e">
        <f>#REF!</f>
        <v>#REF!</v>
      </c>
      <c r="D34" s="3" t="e">
        <f>#REF!</f>
        <v>#REF!</v>
      </c>
      <c r="E34" s="3" t="e">
        <f>#REF!</f>
        <v>#REF!</v>
      </c>
      <c r="F34" s="3" t="e">
        <f>#REF!</f>
        <v>#REF!</v>
      </c>
      <c r="G34" s="3" t="e">
        <f>#REF!</f>
        <v>#REF!</v>
      </c>
      <c r="H34" s="3" t="e">
        <f>#REF!</f>
        <v>#REF!</v>
      </c>
    </row>
    <row r="35" spans="2:33" x14ac:dyDescent="0.25">
      <c r="B35" s="14" t="s">
        <v>43</v>
      </c>
      <c r="C35" s="3" t="e">
        <f>-#REF!</f>
        <v>#REF!</v>
      </c>
      <c r="D35" s="3" t="e">
        <f>-#REF!</f>
        <v>#REF!</v>
      </c>
      <c r="E35" s="3" t="e">
        <f>-#REF!</f>
        <v>#REF!</v>
      </c>
      <c r="F35" s="3" t="e">
        <f>-#REF!</f>
        <v>#REF!</v>
      </c>
      <c r="G35" s="3" t="e">
        <f>-#REF!</f>
        <v>#REF!</v>
      </c>
      <c r="H35" s="3" t="e">
        <f>-#REF!</f>
        <v>#REF!</v>
      </c>
    </row>
    <row r="36" spans="2:33" s="1" customFormat="1" x14ac:dyDescent="0.25">
      <c r="B36" s="1" t="s">
        <v>44</v>
      </c>
      <c r="C36" s="4" t="e">
        <f t="shared" ref="C36:H36" si="8">SUM(C33:C35)</f>
        <v>#REF!</v>
      </c>
      <c r="D36" s="4" t="e">
        <f t="shared" si="8"/>
        <v>#REF!</v>
      </c>
      <c r="E36" s="4" t="e">
        <f t="shared" si="8"/>
        <v>#REF!</v>
      </c>
      <c r="F36" s="4" t="e">
        <f t="shared" si="8"/>
        <v>#REF!</v>
      </c>
      <c r="G36" s="4" t="e">
        <f t="shared" si="8"/>
        <v>#REF!</v>
      </c>
      <c r="H36" s="4" t="e">
        <f t="shared" si="8"/>
        <v>#REF!</v>
      </c>
    </row>
    <row r="38" spans="2:33" x14ac:dyDescent="0.25">
      <c r="B38" s="14"/>
      <c r="C38" s="3"/>
      <c r="D38" s="3"/>
    </row>
    <row r="39" spans="2:33" x14ac:dyDescent="0.25">
      <c r="B39" s="14" t="s">
        <v>46</v>
      </c>
      <c r="C39" s="3" t="e">
        <f>#REF!+#REF!+#REF!+#REF!</f>
        <v>#REF!</v>
      </c>
      <c r="D39" s="3" t="e">
        <f>#REF!+#REF!+#REF!+#REF!</f>
        <v>#REF!</v>
      </c>
      <c r="E39" s="3" t="e">
        <f>#REF!+#REF!+#REF!+#REF!</f>
        <v>#REF!</v>
      </c>
      <c r="F39" s="3" t="e">
        <f>#REF!+#REF!+#REF!+#REF!</f>
        <v>#REF!</v>
      </c>
      <c r="G39" s="3" t="e">
        <f>#REF!+#REF!+#REF!+#REF!</f>
        <v>#REF!</v>
      </c>
      <c r="H39" s="3" t="e">
        <f>#REF!+#REF!+#REF!+#REF!</f>
        <v>#REF!</v>
      </c>
    </row>
    <row r="40" spans="2:33" x14ac:dyDescent="0.25">
      <c r="B40" s="14" t="s">
        <v>47</v>
      </c>
      <c r="C40" s="3" t="e">
        <f>-(#REF!+#REF!)</f>
        <v>#REF!</v>
      </c>
      <c r="D40" s="3" t="e">
        <f>-(#REF!+#REF!)</f>
        <v>#REF!</v>
      </c>
      <c r="E40" s="3" t="e">
        <f>-(#REF!+#REF!)</f>
        <v>#REF!</v>
      </c>
      <c r="F40" s="3" t="e">
        <f>-(#REF!+#REF!)</f>
        <v>#REF!</v>
      </c>
      <c r="G40" s="3" t="e">
        <f>-(#REF!+#REF!)</f>
        <v>#REF!</v>
      </c>
      <c r="H40" s="3" t="e">
        <f>-(#REF!+#REF!)</f>
        <v>#REF!</v>
      </c>
    </row>
    <row r="41" spans="2:33" s="1" customFormat="1" x14ac:dyDescent="0.25">
      <c r="B41" s="15" t="s">
        <v>45</v>
      </c>
      <c r="C41" s="4" t="e">
        <f t="shared" ref="C41:H41" si="9">C39+C40</f>
        <v>#REF!</v>
      </c>
      <c r="D41" s="4" t="e">
        <f t="shared" si="9"/>
        <v>#REF!</v>
      </c>
      <c r="E41" s="4" t="e">
        <f t="shared" si="9"/>
        <v>#REF!</v>
      </c>
      <c r="F41" s="4" t="e">
        <f t="shared" si="9"/>
        <v>#REF!</v>
      </c>
      <c r="G41" s="4" t="e">
        <f t="shared" si="9"/>
        <v>#REF!</v>
      </c>
      <c r="H41" s="4" t="e">
        <f t="shared" si="9"/>
        <v>#REF!</v>
      </c>
    </row>
    <row r="42" spans="2:33" x14ac:dyDescent="0.25">
      <c r="B42" s="16" t="s">
        <v>32</v>
      </c>
      <c r="C42" s="11" t="e">
        <f t="shared" ref="C42:H42" si="10">C41/C39</f>
        <v>#REF!</v>
      </c>
      <c r="D42" s="11" t="e">
        <f t="shared" si="10"/>
        <v>#REF!</v>
      </c>
      <c r="E42" s="11" t="e">
        <f t="shared" si="10"/>
        <v>#REF!</v>
      </c>
      <c r="F42" s="11" t="e">
        <f t="shared" si="10"/>
        <v>#REF!</v>
      </c>
      <c r="G42" s="11" t="e">
        <f t="shared" si="10"/>
        <v>#REF!</v>
      </c>
      <c r="H42" s="11" t="e">
        <f t="shared" si="10"/>
        <v>#REF!</v>
      </c>
    </row>
    <row r="45" spans="2:33" x14ac:dyDescent="0.25">
      <c r="C45" s="2">
        <v>2013</v>
      </c>
      <c r="D45" s="2">
        <v>2014</v>
      </c>
      <c r="E45" s="2">
        <v>2015</v>
      </c>
      <c r="F45" s="2">
        <v>2016</v>
      </c>
      <c r="G45" s="2">
        <v>2017</v>
      </c>
      <c r="H45" s="2">
        <v>2018</v>
      </c>
      <c r="I45" s="2">
        <v>2019</v>
      </c>
      <c r="J45" s="2">
        <v>2020</v>
      </c>
      <c r="K45" s="2">
        <v>2021</v>
      </c>
      <c r="L45" s="2">
        <v>2022</v>
      </c>
      <c r="M45" s="2">
        <v>2023</v>
      </c>
      <c r="N45" s="2">
        <v>2024</v>
      </c>
      <c r="O45" s="2">
        <v>2025</v>
      </c>
      <c r="P45" s="2">
        <v>2026</v>
      </c>
      <c r="Q45" s="2">
        <v>2027</v>
      </c>
      <c r="R45" s="2">
        <v>2028</v>
      </c>
      <c r="S45" s="2">
        <v>2029</v>
      </c>
      <c r="T45" s="2">
        <v>2030</v>
      </c>
      <c r="U45" s="2">
        <v>2031</v>
      </c>
      <c r="V45" s="2">
        <v>2032</v>
      </c>
      <c r="W45" s="2">
        <v>2033</v>
      </c>
      <c r="X45" s="2">
        <v>2034</v>
      </c>
      <c r="Y45" s="2">
        <v>2035</v>
      </c>
      <c r="Z45" s="2">
        <v>2036</v>
      </c>
      <c r="AA45" s="2">
        <v>2037</v>
      </c>
      <c r="AB45" s="2">
        <v>2038</v>
      </c>
      <c r="AC45" s="2">
        <v>2039</v>
      </c>
      <c r="AD45" s="2">
        <v>2040</v>
      </c>
      <c r="AE45" s="2">
        <v>2041</v>
      </c>
      <c r="AF45" s="2">
        <v>2042</v>
      </c>
      <c r="AG45" s="2">
        <v>2043</v>
      </c>
    </row>
    <row r="46" spans="2:33" x14ac:dyDescent="0.25">
      <c r="B46" s="16" t="s">
        <v>48</v>
      </c>
      <c r="C46" s="3" t="e">
        <f>#REF!</f>
        <v>#REF!</v>
      </c>
      <c r="D46" s="3" t="e">
        <f>#REF!</f>
        <v>#REF!</v>
      </c>
      <c r="E46" s="3" t="e">
        <f>#REF!</f>
        <v>#REF!</v>
      </c>
      <c r="F46" s="3" t="e">
        <f>#REF!</f>
        <v>#REF!</v>
      </c>
      <c r="G46" s="3" t="e">
        <f>AVERAGE(C46:F46)</f>
        <v>#REF!</v>
      </c>
      <c r="H46" s="3" t="e">
        <f>AVERAGE(C46:G46)</f>
        <v>#REF!</v>
      </c>
      <c r="I46" s="3" t="e">
        <f>AVERAGE(C46:H46)</f>
        <v>#REF!</v>
      </c>
      <c r="J46" s="3" t="e">
        <f>AVERAGE(C46:I46)</f>
        <v>#REF!</v>
      </c>
      <c r="K46" s="3" t="e">
        <f>AVERAGE(C46:J46)</f>
        <v>#REF!</v>
      </c>
      <c r="L46" s="3" t="e">
        <f t="shared" ref="L46:AG46" si="11">AVERAGE(C46:K46)</f>
        <v>#REF!</v>
      </c>
      <c r="M46" s="3" t="e">
        <f t="shared" si="11"/>
        <v>#REF!</v>
      </c>
      <c r="N46" s="3" t="e">
        <f t="shared" si="11"/>
        <v>#REF!</v>
      </c>
      <c r="O46" s="3" t="e">
        <f t="shared" si="11"/>
        <v>#REF!</v>
      </c>
      <c r="P46" s="3" t="e">
        <f t="shared" si="11"/>
        <v>#REF!</v>
      </c>
      <c r="Q46" s="3" t="e">
        <f t="shared" si="11"/>
        <v>#REF!</v>
      </c>
      <c r="R46" s="3" t="e">
        <f t="shared" si="11"/>
        <v>#REF!</v>
      </c>
      <c r="S46" s="3" t="e">
        <f t="shared" si="11"/>
        <v>#REF!</v>
      </c>
      <c r="T46" s="3" t="e">
        <f t="shared" si="11"/>
        <v>#REF!</v>
      </c>
      <c r="U46" s="3" t="e">
        <f t="shared" si="11"/>
        <v>#REF!</v>
      </c>
      <c r="V46" s="3" t="e">
        <f t="shared" si="11"/>
        <v>#REF!</v>
      </c>
      <c r="W46" s="3" t="e">
        <f t="shared" si="11"/>
        <v>#REF!</v>
      </c>
      <c r="X46" s="3" t="e">
        <f t="shared" si="11"/>
        <v>#REF!</v>
      </c>
      <c r="Y46" s="3" t="e">
        <f t="shared" si="11"/>
        <v>#REF!</v>
      </c>
      <c r="Z46" s="3" t="e">
        <f t="shared" si="11"/>
        <v>#REF!</v>
      </c>
      <c r="AA46" s="3" t="e">
        <f t="shared" si="11"/>
        <v>#REF!</v>
      </c>
      <c r="AB46" s="3" t="e">
        <f t="shared" si="11"/>
        <v>#REF!</v>
      </c>
      <c r="AC46" s="3" t="e">
        <f t="shared" si="11"/>
        <v>#REF!</v>
      </c>
      <c r="AD46" s="3" t="e">
        <f t="shared" si="11"/>
        <v>#REF!</v>
      </c>
      <c r="AE46" s="3" t="e">
        <f t="shared" si="11"/>
        <v>#REF!</v>
      </c>
      <c r="AF46" s="3" t="e">
        <f t="shared" si="11"/>
        <v>#REF!</v>
      </c>
      <c r="AG46" s="3" t="e">
        <f t="shared" si="11"/>
        <v>#REF!</v>
      </c>
    </row>
    <row r="47" spans="2:33" x14ac:dyDescent="0.25">
      <c r="B47" s="16" t="s">
        <v>36</v>
      </c>
      <c r="C47" s="3" t="e">
        <f>#REF!</f>
        <v>#REF!</v>
      </c>
      <c r="D47" s="3" t="e">
        <f>#REF!</f>
        <v>#REF!</v>
      </c>
      <c r="E47" s="3" t="e">
        <f>#REF!</f>
        <v>#REF!</v>
      </c>
      <c r="F47" s="3" t="e">
        <f>#REF!</f>
        <v>#REF!</v>
      </c>
      <c r="G47" s="3" t="e">
        <f>AVERAGE(C47:F47)</f>
        <v>#REF!</v>
      </c>
      <c r="H47" s="3" t="e">
        <f>AVERAGE(C47:G47)</f>
        <v>#REF!</v>
      </c>
      <c r="I47" s="3" t="e">
        <f>AVERAGE(C47:H47)</f>
        <v>#REF!</v>
      </c>
      <c r="J47" s="3" t="e">
        <f>AVERAGE(C47:I47)</f>
        <v>#REF!</v>
      </c>
      <c r="K47" s="3" t="e">
        <f>AVERAGE(C47:J47)</f>
        <v>#REF!</v>
      </c>
      <c r="L47" s="3" t="e">
        <f t="shared" ref="L47:AG47" si="12">AVERAGE(C47:K47)</f>
        <v>#REF!</v>
      </c>
      <c r="M47" s="3" t="e">
        <f t="shared" si="12"/>
        <v>#REF!</v>
      </c>
      <c r="N47" s="3" t="e">
        <f t="shared" si="12"/>
        <v>#REF!</v>
      </c>
      <c r="O47" s="3" t="e">
        <f t="shared" si="12"/>
        <v>#REF!</v>
      </c>
      <c r="P47" s="3" t="e">
        <f t="shared" si="12"/>
        <v>#REF!</v>
      </c>
      <c r="Q47" s="3" t="e">
        <f t="shared" si="12"/>
        <v>#REF!</v>
      </c>
      <c r="R47" s="3" t="e">
        <f t="shared" si="12"/>
        <v>#REF!</v>
      </c>
      <c r="S47" s="3" t="e">
        <f t="shared" si="12"/>
        <v>#REF!</v>
      </c>
      <c r="T47" s="3" t="e">
        <f t="shared" si="12"/>
        <v>#REF!</v>
      </c>
      <c r="U47" s="3" t="e">
        <f t="shared" si="12"/>
        <v>#REF!</v>
      </c>
      <c r="V47" s="3" t="e">
        <f t="shared" si="12"/>
        <v>#REF!</v>
      </c>
      <c r="W47" s="3" t="e">
        <f t="shared" si="12"/>
        <v>#REF!</v>
      </c>
      <c r="X47" s="3" t="e">
        <f t="shared" si="12"/>
        <v>#REF!</v>
      </c>
      <c r="Y47" s="3" t="e">
        <f t="shared" si="12"/>
        <v>#REF!</v>
      </c>
      <c r="Z47" s="3" t="e">
        <f t="shared" si="12"/>
        <v>#REF!</v>
      </c>
      <c r="AA47" s="3" t="e">
        <f t="shared" si="12"/>
        <v>#REF!</v>
      </c>
      <c r="AB47" s="3" t="e">
        <f t="shared" si="12"/>
        <v>#REF!</v>
      </c>
      <c r="AC47" s="3" t="e">
        <f t="shared" si="12"/>
        <v>#REF!</v>
      </c>
      <c r="AD47" s="3" t="e">
        <f t="shared" si="12"/>
        <v>#REF!</v>
      </c>
      <c r="AE47" s="3" t="e">
        <f t="shared" si="12"/>
        <v>#REF!</v>
      </c>
      <c r="AF47" s="3" t="e">
        <f t="shared" si="12"/>
        <v>#REF!</v>
      </c>
      <c r="AG47" s="3" t="e">
        <f t="shared" si="12"/>
        <v>#REF!</v>
      </c>
    </row>
    <row r="48" spans="2:33" x14ac:dyDescent="0.25">
      <c r="B48" s="16" t="s">
        <v>49</v>
      </c>
      <c r="C48" s="3" t="e">
        <f>#REF!</f>
        <v>#REF!</v>
      </c>
      <c r="D48" s="3" t="e">
        <f>#REF!</f>
        <v>#REF!</v>
      </c>
      <c r="E48" s="3" t="e">
        <f>#REF!</f>
        <v>#REF!</v>
      </c>
      <c r="F48" s="3" t="e">
        <f>#REF!</f>
        <v>#REF!</v>
      </c>
      <c r="G48" s="3" t="e">
        <f>AVERAGE(C48:F48)</f>
        <v>#REF!</v>
      </c>
      <c r="H48" s="3" t="e">
        <f>AVERAGE(C48:G48)</f>
        <v>#REF!</v>
      </c>
      <c r="I48" s="3" t="e">
        <f>AVERAGE(C48:H48)</f>
        <v>#REF!</v>
      </c>
      <c r="J48" s="3" t="e">
        <f>AVERAGE(C48:I48)</f>
        <v>#REF!</v>
      </c>
      <c r="K48" s="3" t="e">
        <f>AVERAGE(C48:J48)</f>
        <v>#REF!</v>
      </c>
      <c r="L48" s="3" t="e">
        <f t="shared" ref="L48:AG48" si="13">AVERAGE(C48:K48)</f>
        <v>#REF!</v>
      </c>
      <c r="M48" s="3" t="e">
        <f t="shared" si="13"/>
        <v>#REF!</v>
      </c>
      <c r="N48" s="3" t="e">
        <f t="shared" si="13"/>
        <v>#REF!</v>
      </c>
      <c r="O48" s="3" t="e">
        <f t="shared" si="13"/>
        <v>#REF!</v>
      </c>
      <c r="P48" s="3" t="e">
        <f t="shared" si="13"/>
        <v>#REF!</v>
      </c>
      <c r="Q48" s="3" t="e">
        <f t="shared" si="13"/>
        <v>#REF!</v>
      </c>
      <c r="R48" s="3" t="e">
        <f t="shared" si="13"/>
        <v>#REF!</v>
      </c>
      <c r="S48" s="3" t="e">
        <f t="shared" si="13"/>
        <v>#REF!</v>
      </c>
      <c r="T48" s="3" t="e">
        <f t="shared" si="13"/>
        <v>#REF!</v>
      </c>
      <c r="U48" s="3" t="e">
        <f t="shared" si="13"/>
        <v>#REF!</v>
      </c>
      <c r="V48" s="3" t="e">
        <f t="shared" si="13"/>
        <v>#REF!</v>
      </c>
      <c r="W48" s="3" t="e">
        <f t="shared" si="13"/>
        <v>#REF!</v>
      </c>
      <c r="X48" s="3" t="e">
        <f t="shared" si="13"/>
        <v>#REF!</v>
      </c>
      <c r="Y48" s="3" t="e">
        <f t="shared" si="13"/>
        <v>#REF!</v>
      </c>
      <c r="Z48" s="3" t="e">
        <f t="shared" si="13"/>
        <v>#REF!</v>
      </c>
      <c r="AA48" s="3" t="e">
        <f t="shared" si="13"/>
        <v>#REF!</v>
      </c>
      <c r="AB48" s="3" t="e">
        <f t="shared" si="13"/>
        <v>#REF!</v>
      </c>
      <c r="AC48" s="3" t="e">
        <f t="shared" si="13"/>
        <v>#REF!</v>
      </c>
      <c r="AD48" s="3" t="e">
        <f t="shared" si="13"/>
        <v>#REF!</v>
      </c>
      <c r="AE48" s="3" t="e">
        <f t="shared" si="13"/>
        <v>#REF!</v>
      </c>
      <c r="AF48" s="3" t="e">
        <f t="shared" si="13"/>
        <v>#REF!</v>
      </c>
      <c r="AG48" s="3" t="e">
        <f t="shared" si="13"/>
        <v>#REF!</v>
      </c>
    </row>
    <row r="49" spans="2:34" x14ac:dyDescent="0.25">
      <c r="B49" s="1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2:34" x14ac:dyDescent="0.25">
      <c r="B50" s="1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2:34" x14ac:dyDescent="0.25">
      <c r="B51" s="1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2:34" x14ac:dyDescent="0.25">
      <c r="B52" s="1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</sheetData>
  <pageMargins left="0.78740157499999996" right="0.78740157499999996" top="0.984251969" bottom="0.984251969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73"/>
  <sheetViews>
    <sheetView showGridLines="0" tabSelected="1" zoomScale="120" zoomScaleNormal="120" workbookViewId="0">
      <selection activeCell="M14" sqref="M14"/>
    </sheetView>
  </sheetViews>
  <sheetFormatPr baseColWidth="10" defaultColWidth="11.42578125" defaultRowHeight="15.75" x14ac:dyDescent="0.25"/>
  <cols>
    <col min="1" max="1" width="3.7109375" style="17" customWidth="1"/>
    <col min="2" max="2" width="59.7109375" style="17" customWidth="1"/>
    <col min="3" max="3" width="1.7109375" style="17" hidden="1" customWidth="1"/>
    <col min="4" max="4" width="12.85546875" style="17" hidden="1" customWidth="1"/>
    <col min="5" max="6" width="12.140625" style="17" hidden="1" customWidth="1"/>
    <col min="7" max="7" width="12.85546875" style="17" hidden="1" customWidth="1"/>
    <col min="8" max="8" width="12.85546875" style="17" customWidth="1"/>
    <col min="9" max="9" width="12.7109375" style="33" customWidth="1"/>
    <col min="10" max="10" width="12.140625" style="33" bestFit="1" customWidth="1"/>
    <col min="11" max="16384" width="11.42578125" style="17"/>
  </cols>
  <sheetData>
    <row r="1" spans="2:12" ht="18.75" x14ac:dyDescent="0.3">
      <c r="B1" s="232" t="s">
        <v>180</v>
      </c>
    </row>
    <row r="3" spans="2:12" s="20" customFormat="1" x14ac:dyDescent="0.25">
      <c r="B3" s="18" t="s">
        <v>105</v>
      </c>
      <c r="C3" s="19">
        <v>41639</v>
      </c>
      <c r="D3" s="135">
        <v>2014</v>
      </c>
      <c r="E3" s="152">
        <v>2015</v>
      </c>
      <c r="F3" s="152">
        <v>2016</v>
      </c>
      <c r="G3" s="152">
        <v>2017</v>
      </c>
      <c r="H3" s="152">
        <v>2018</v>
      </c>
      <c r="I3" s="152">
        <v>2019</v>
      </c>
      <c r="J3" s="176">
        <v>2020</v>
      </c>
    </row>
    <row r="4" spans="2:12" x14ac:dyDescent="0.25">
      <c r="B4" s="21"/>
      <c r="C4" s="22"/>
      <c r="D4" s="22"/>
      <c r="E4" s="22"/>
      <c r="F4" s="22"/>
      <c r="G4" s="22"/>
      <c r="H4" s="22"/>
      <c r="I4" s="22"/>
      <c r="J4" s="177"/>
      <c r="L4" s="20"/>
    </row>
    <row r="5" spans="2:12" x14ac:dyDescent="0.25">
      <c r="B5" s="23" t="s">
        <v>55</v>
      </c>
      <c r="C5" s="36" t="e">
        <f>+#REF!/1000000</f>
        <v>#REF!</v>
      </c>
      <c r="D5" s="57" t="e">
        <f>+#REF!/1000000</f>
        <v>#REF!</v>
      </c>
      <c r="E5" s="57" t="e">
        <f>+#REF!/1000000</f>
        <v>#REF!</v>
      </c>
      <c r="F5" s="57" t="e">
        <f>+#REF!/1000000</f>
        <v>#REF!</v>
      </c>
      <c r="G5" s="57" t="e">
        <f>+#REF!/1000000</f>
        <v>#REF!</v>
      </c>
      <c r="H5" s="57">
        <v>1328.7231710000001</v>
      </c>
      <c r="I5" s="57">
        <v>2934.226709</v>
      </c>
      <c r="J5" s="178">
        <v>2853.785899</v>
      </c>
      <c r="L5" s="20"/>
    </row>
    <row r="6" spans="2:12" x14ac:dyDescent="0.25">
      <c r="B6" s="23" t="s">
        <v>93</v>
      </c>
      <c r="C6" s="57" t="e">
        <f>+#REF!/1000000</f>
        <v>#REF!</v>
      </c>
      <c r="D6" s="57" t="e">
        <f>+#REF!/1000000</f>
        <v>#REF!</v>
      </c>
      <c r="E6" s="57" t="e">
        <f>+#REF!/1000000</f>
        <v>#REF!</v>
      </c>
      <c r="F6" s="57" t="e">
        <f>+#REF!/1000000</f>
        <v>#REF!</v>
      </c>
      <c r="G6" s="57" t="e">
        <f>+#REF!/1000000</f>
        <v>#REF!</v>
      </c>
      <c r="H6" s="57">
        <v>0</v>
      </c>
      <c r="I6" s="57">
        <v>0</v>
      </c>
      <c r="J6" s="178">
        <v>0</v>
      </c>
      <c r="L6" s="20"/>
    </row>
    <row r="7" spans="2:12" x14ac:dyDescent="0.25">
      <c r="B7" s="23" t="s">
        <v>19</v>
      </c>
      <c r="C7" s="57" t="e">
        <f>+#REF!/1000000</f>
        <v>#REF!</v>
      </c>
      <c r="D7" s="57" t="e">
        <f>+#REF!/1000000</f>
        <v>#REF!</v>
      </c>
      <c r="E7" s="57" t="e">
        <f>+#REF!/1000000</f>
        <v>#REF!</v>
      </c>
      <c r="F7" s="57" t="e">
        <f>+#REF!/1000000</f>
        <v>#REF!</v>
      </c>
      <c r="G7" s="57" t="e">
        <f>+#REF!/1000000</f>
        <v>#REF!</v>
      </c>
      <c r="H7" s="57">
        <v>0</v>
      </c>
      <c r="I7" s="57">
        <v>0</v>
      </c>
      <c r="J7" s="178">
        <v>0</v>
      </c>
      <c r="L7" s="20"/>
    </row>
    <row r="8" spans="2:12" x14ac:dyDescent="0.25">
      <c r="B8" s="67" t="s">
        <v>20</v>
      </c>
      <c r="C8" s="60" t="e">
        <f>+#REF!/1000000</f>
        <v>#REF!</v>
      </c>
      <c r="D8" s="60" t="e">
        <f>+#REF!/1000000</f>
        <v>#REF!</v>
      </c>
      <c r="E8" s="60" t="e">
        <f>+#REF!/1000000</f>
        <v>#REF!</v>
      </c>
      <c r="F8" s="60" t="e">
        <f>+#REF!/1000000</f>
        <v>#REF!</v>
      </c>
      <c r="G8" s="60" t="e">
        <f>+#REF!/1000000</f>
        <v>#REF!</v>
      </c>
      <c r="H8" s="60">
        <v>1.9081840000000001</v>
      </c>
      <c r="I8" s="60">
        <v>2.2499999999999999E-4</v>
      </c>
      <c r="J8" s="179">
        <v>5.1609000000000002E-2</v>
      </c>
      <c r="L8" s="20"/>
    </row>
    <row r="9" spans="2:12" s="20" customFormat="1" x14ac:dyDescent="0.25">
      <c r="B9" s="24" t="s">
        <v>51</v>
      </c>
      <c r="C9" s="25" t="e">
        <f t="shared" ref="C9:F9" si="0">SUM(C5:C8)</f>
        <v>#REF!</v>
      </c>
      <c r="D9" s="26" t="e">
        <f t="shared" si="0"/>
        <v>#REF!</v>
      </c>
      <c r="E9" s="26" t="e">
        <f t="shared" si="0"/>
        <v>#REF!</v>
      </c>
      <c r="F9" s="26" t="e">
        <f t="shared" si="0"/>
        <v>#REF!</v>
      </c>
      <c r="G9" s="26" t="e">
        <f t="shared" ref="G9" si="1">SUM(G5:G8)</f>
        <v>#REF!</v>
      </c>
      <c r="H9" s="26">
        <v>1330.631355</v>
      </c>
      <c r="I9" s="26">
        <v>2934.2269339999998</v>
      </c>
      <c r="J9" s="180">
        <v>2853.8375080000001</v>
      </c>
    </row>
    <row r="10" spans="2:12" x14ac:dyDescent="0.25">
      <c r="B10" s="21"/>
      <c r="C10" s="22"/>
      <c r="D10" s="22"/>
      <c r="E10" s="22"/>
      <c r="F10" s="22"/>
      <c r="G10" s="22"/>
      <c r="H10" s="22"/>
      <c r="I10" s="22"/>
      <c r="J10" s="177"/>
      <c r="L10" s="20"/>
    </row>
    <row r="11" spans="2:12" x14ac:dyDescent="0.25">
      <c r="B11" s="21" t="s">
        <v>12</v>
      </c>
      <c r="C11" s="36" t="e">
        <f>(#REF!+#REF!+#REF!+#REF!+#REF!+#REF!)/-1000000</f>
        <v>#REF!</v>
      </c>
      <c r="D11" s="57" t="e">
        <f>(#REF!+#REF!+#REF!+#REF!+#REF!+#REF!)/-1000000</f>
        <v>#REF!</v>
      </c>
      <c r="E11" s="57" t="e">
        <f>(#REF!+#REF!+#REF!+#REF!+#REF!+#REF!)/-1000000</f>
        <v>#REF!</v>
      </c>
      <c r="F11" s="57" t="e">
        <f>(#REF!+#REF!+#REF!+#REF!+#REF!+#REF!)/-1000000</f>
        <v>#REF!</v>
      </c>
      <c r="G11" s="57" t="e">
        <f>(#REF!+#REF!+#REF!+#REF!+#REF!+#REF!)/-1000000</f>
        <v>#REF!</v>
      </c>
      <c r="H11" s="57">
        <v>-28.415179999999999</v>
      </c>
      <c r="I11" s="57">
        <v>-47.672784999999998</v>
      </c>
      <c r="J11" s="178">
        <v>-318.36987499999998</v>
      </c>
      <c r="L11" s="20"/>
    </row>
    <row r="12" spans="2:12" x14ac:dyDescent="0.25">
      <c r="B12" s="21" t="s">
        <v>13</v>
      </c>
      <c r="C12" s="57" t="e">
        <f>+#REF!/-1000000</f>
        <v>#REF!</v>
      </c>
      <c r="D12" s="57" t="e">
        <f>+#REF!/-1000000</f>
        <v>#REF!</v>
      </c>
      <c r="E12" s="57" t="e">
        <f>+#REF!/-1000000</f>
        <v>#REF!</v>
      </c>
      <c r="F12" s="57" t="e">
        <f>+#REF!/-1000000</f>
        <v>#REF!</v>
      </c>
      <c r="G12" s="57" t="e">
        <f>+#REF!/-1000000</f>
        <v>#REF!</v>
      </c>
      <c r="H12" s="57">
        <v>-68.874684999999999</v>
      </c>
      <c r="I12" s="57">
        <v>-28.43695</v>
      </c>
      <c r="J12" s="178">
        <v>-7.8119249999999996</v>
      </c>
      <c r="L12" s="20"/>
    </row>
    <row r="13" spans="2:12" x14ac:dyDescent="0.25">
      <c r="B13" s="21" t="s">
        <v>14</v>
      </c>
      <c r="C13" s="57" t="e">
        <f>+#REF!/-1000000</f>
        <v>#REF!</v>
      </c>
      <c r="D13" s="57" t="e">
        <f>+#REF!/-1000000</f>
        <v>#REF!</v>
      </c>
      <c r="E13" s="57" t="e">
        <f>+#REF!/-1000000</f>
        <v>#REF!</v>
      </c>
      <c r="F13" s="57" t="e">
        <f>+#REF!/-1000000</f>
        <v>#REF!</v>
      </c>
      <c r="G13" s="57" t="e">
        <f>+#REF!/-1000000</f>
        <v>#REF!</v>
      </c>
      <c r="H13" s="57">
        <v>-109.320038</v>
      </c>
      <c r="I13" s="57">
        <v>-167.11577199999999</v>
      </c>
      <c r="J13" s="178">
        <v>-227.018201</v>
      </c>
      <c r="L13" s="20"/>
    </row>
    <row r="14" spans="2:12" x14ac:dyDescent="0.25">
      <c r="B14" s="21" t="s">
        <v>16</v>
      </c>
      <c r="C14" s="58" t="e">
        <f>+#REF!/-1000000</f>
        <v>#REF!</v>
      </c>
      <c r="D14" s="58" t="e">
        <f>+#REF!/-1000000</f>
        <v>#REF!</v>
      </c>
      <c r="E14" s="58" t="e">
        <f>+#REF!/-1000000</f>
        <v>#REF!</v>
      </c>
      <c r="F14" s="58" t="e">
        <f>+#REF!/-1000000</f>
        <v>#REF!</v>
      </c>
      <c r="G14" s="58" t="e">
        <f>+#REF!/-1000000</f>
        <v>#REF!</v>
      </c>
      <c r="H14" s="58">
        <v>-46.602984999999997</v>
      </c>
      <c r="I14" s="58">
        <v>-72.397936000000001</v>
      </c>
      <c r="J14" s="181">
        <v>-35.027875999999999</v>
      </c>
      <c r="L14" s="20"/>
    </row>
    <row r="15" spans="2:12" s="20" customFormat="1" x14ac:dyDescent="0.25">
      <c r="B15" s="27" t="s">
        <v>50</v>
      </c>
      <c r="C15" s="28" t="e">
        <f t="shared" ref="C15:F15" si="2">SUM(C9:C14)</f>
        <v>#REF!</v>
      </c>
      <c r="D15" s="26" t="e">
        <f t="shared" si="2"/>
        <v>#REF!</v>
      </c>
      <c r="E15" s="26" t="e">
        <f t="shared" si="2"/>
        <v>#REF!</v>
      </c>
      <c r="F15" s="26" t="e">
        <f t="shared" si="2"/>
        <v>#REF!</v>
      </c>
      <c r="G15" s="26" t="e">
        <f t="shared" ref="G15" si="3">SUM(G9:G14)</f>
        <v>#REF!</v>
      </c>
      <c r="H15" s="26">
        <v>1077.418467</v>
      </c>
      <c r="I15" s="26">
        <v>2618.6034909999998</v>
      </c>
      <c r="J15" s="180">
        <v>2265.6096310000003</v>
      </c>
    </row>
    <row r="16" spans="2:12" s="29" customFormat="1" x14ac:dyDescent="0.25">
      <c r="B16" s="154" t="s">
        <v>39</v>
      </c>
      <c r="C16" s="155" t="e">
        <f t="shared" ref="C16:F16" si="4">C15/C5</f>
        <v>#REF!</v>
      </c>
      <c r="D16" s="155" t="e">
        <f t="shared" si="4"/>
        <v>#REF!</v>
      </c>
      <c r="E16" s="155" t="e">
        <f t="shared" si="4"/>
        <v>#REF!</v>
      </c>
      <c r="F16" s="155" t="e">
        <f t="shared" si="4"/>
        <v>#REF!</v>
      </c>
      <c r="G16" s="155" t="e">
        <f t="shared" ref="G16" si="5">G15/G5</f>
        <v>#REF!</v>
      </c>
      <c r="H16" s="155">
        <v>0.81086752343539881</v>
      </c>
      <c r="I16" s="155">
        <v>0.89243393599004961</v>
      </c>
      <c r="J16" s="182">
        <v>0.79389614749792425</v>
      </c>
      <c r="L16" s="20"/>
    </row>
    <row r="17" spans="2:12" x14ac:dyDescent="0.25">
      <c r="B17" s="21"/>
      <c r="C17" s="22"/>
      <c r="D17" s="22"/>
      <c r="E17" s="22"/>
      <c r="F17" s="22"/>
      <c r="G17" s="22"/>
      <c r="H17" s="22"/>
      <c r="I17" s="22"/>
      <c r="J17" s="177"/>
      <c r="L17" s="20"/>
    </row>
    <row r="18" spans="2:12" x14ac:dyDescent="0.25">
      <c r="B18" s="21" t="s">
        <v>15</v>
      </c>
      <c r="C18" s="36" t="e">
        <f>+#REF!/-1000000</f>
        <v>#REF!</v>
      </c>
      <c r="D18" s="57" t="e">
        <f>+#REF!/-1000000</f>
        <v>#REF!</v>
      </c>
      <c r="E18" s="57" t="e">
        <f>+#REF!/-1000000</f>
        <v>#REF!</v>
      </c>
      <c r="F18" s="57" t="e">
        <f>+#REF!/-1000000</f>
        <v>#REF!</v>
      </c>
      <c r="G18" s="57" t="e">
        <f>+#REF!/-1000000</f>
        <v>#REF!</v>
      </c>
      <c r="H18" s="57">
        <v>-1.9743390000000001</v>
      </c>
      <c r="I18" s="57">
        <v>-16.701924000000002</v>
      </c>
      <c r="J18" s="178">
        <v>-206.31796800000001</v>
      </c>
      <c r="L18" s="20"/>
    </row>
    <row r="19" spans="2:12" x14ac:dyDescent="0.25">
      <c r="B19" s="21" t="s">
        <v>18</v>
      </c>
      <c r="C19" s="58" t="e">
        <f>+#REF!/-1000000</f>
        <v>#REF!</v>
      </c>
      <c r="D19" s="58" t="e">
        <f>+#REF!/-1000000</f>
        <v>#REF!</v>
      </c>
      <c r="E19" s="58" t="e">
        <f>+#REF!/-1000000</f>
        <v>#REF!</v>
      </c>
      <c r="F19" s="58" t="e">
        <f>+#REF!/-1000000</f>
        <v>#REF!</v>
      </c>
      <c r="G19" s="58" t="e">
        <f>+#REF!/-1000000</f>
        <v>#REF!</v>
      </c>
      <c r="H19" s="58">
        <v>-47.408296999999997</v>
      </c>
      <c r="I19" s="58">
        <v>-85.673669000000004</v>
      </c>
      <c r="J19" s="181">
        <v>-87.370908</v>
      </c>
      <c r="L19" s="20"/>
    </row>
    <row r="20" spans="2:12" s="20" customFormat="1" x14ac:dyDescent="0.25">
      <c r="B20" s="27" t="s">
        <v>52</v>
      </c>
      <c r="C20" s="28" t="e">
        <f t="shared" ref="C20:F20" si="6">C15+C18+C19</f>
        <v>#REF!</v>
      </c>
      <c r="D20" s="26" t="e">
        <f t="shared" si="6"/>
        <v>#REF!</v>
      </c>
      <c r="E20" s="26" t="e">
        <f t="shared" si="6"/>
        <v>#REF!</v>
      </c>
      <c r="F20" s="26" t="e">
        <f t="shared" si="6"/>
        <v>#REF!</v>
      </c>
      <c r="G20" s="26" t="e">
        <f t="shared" ref="G20" si="7">G15+G18+G19</f>
        <v>#REF!</v>
      </c>
      <c r="H20" s="26">
        <v>1028.0358309999999</v>
      </c>
      <c r="I20" s="26">
        <v>2516.2278980000001</v>
      </c>
      <c r="J20" s="180">
        <v>1971.9207550000003</v>
      </c>
    </row>
    <row r="21" spans="2:12" s="29" customFormat="1" x14ac:dyDescent="0.25">
      <c r="B21" s="154" t="s">
        <v>39</v>
      </c>
      <c r="C21" s="155" t="e">
        <f t="shared" ref="C21:F21" si="8">C20/C5</f>
        <v>#REF!</v>
      </c>
      <c r="D21" s="155" t="e">
        <f t="shared" si="8"/>
        <v>#REF!</v>
      </c>
      <c r="E21" s="155" t="e">
        <f t="shared" si="8"/>
        <v>#REF!</v>
      </c>
      <c r="F21" s="155" t="e">
        <f t="shared" si="8"/>
        <v>#REF!</v>
      </c>
      <c r="G21" s="155" t="e">
        <f t="shared" ref="G21" si="9">G20/G5</f>
        <v>#REF!</v>
      </c>
      <c r="H21" s="155">
        <v>0.77370204225933514</v>
      </c>
      <c r="I21" s="155">
        <v>0.85754379178749407</v>
      </c>
      <c r="J21" s="182">
        <v>0.69098412592583924</v>
      </c>
      <c r="L21" s="20"/>
    </row>
    <row r="22" spans="2:12" x14ac:dyDescent="0.25">
      <c r="B22" s="21"/>
      <c r="C22" s="22"/>
      <c r="D22" s="22"/>
      <c r="E22" s="22"/>
      <c r="F22" s="22"/>
      <c r="G22" s="22"/>
      <c r="H22" s="22"/>
      <c r="I22" s="22"/>
      <c r="J22" s="177"/>
      <c r="L22" s="20"/>
    </row>
    <row r="23" spans="2:12" x14ac:dyDescent="0.25">
      <c r="B23" s="21" t="s">
        <v>17</v>
      </c>
      <c r="C23" s="36" t="e">
        <f>+#REF!/-1000000</f>
        <v>#REF!</v>
      </c>
      <c r="D23" s="57" t="e">
        <f>+#REF!/-1000000</f>
        <v>#REF!</v>
      </c>
      <c r="E23" s="57" t="e">
        <f>+#REF!/-1000000</f>
        <v>#REF!</v>
      </c>
      <c r="F23" s="57" t="e">
        <f>+#REF!/-1000000</f>
        <v>#REF!</v>
      </c>
      <c r="G23" s="57" t="e">
        <f>+#REF!/-1000000</f>
        <v>#REF!</v>
      </c>
      <c r="H23" s="57">
        <v>-411.52949100000001</v>
      </c>
      <c r="I23" s="57">
        <v>-972.24918400000001</v>
      </c>
      <c r="J23" s="178">
        <v>-982.776971</v>
      </c>
      <c r="L23" s="20"/>
    </row>
    <row r="24" spans="2:12" x14ac:dyDescent="0.25">
      <c r="B24" s="21" t="s">
        <v>21</v>
      </c>
      <c r="C24" s="58" t="e">
        <f>+#REF!/1000000+#REF!/1000000</f>
        <v>#REF!</v>
      </c>
      <c r="D24" s="58" t="e">
        <f>+#REF!/1000000+#REF!/1000000</f>
        <v>#REF!</v>
      </c>
      <c r="E24" s="58" t="e">
        <f>+#REF!/1000000+#REF!/1000000</f>
        <v>#REF!</v>
      </c>
      <c r="F24" s="58" t="e">
        <f>+#REF!/1000000+#REF!/1000000</f>
        <v>#REF!</v>
      </c>
      <c r="G24" s="58" t="e">
        <f>+#REF!/1000000+#REF!/1000000</f>
        <v>#REF!</v>
      </c>
      <c r="H24" s="58">
        <v>7.7398740000000004</v>
      </c>
      <c r="I24" s="58">
        <v>0.21382799999999999</v>
      </c>
      <c r="J24" s="181">
        <v>1.906506</v>
      </c>
      <c r="L24" s="20"/>
    </row>
    <row r="25" spans="2:12" s="20" customFormat="1" x14ac:dyDescent="0.25">
      <c r="B25" s="27" t="s">
        <v>22</v>
      </c>
      <c r="C25" s="28" t="e">
        <f t="shared" ref="C25:F25" si="10">C20+C23+C24</f>
        <v>#REF!</v>
      </c>
      <c r="D25" s="28" t="e">
        <f t="shared" si="10"/>
        <v>#REF!</v>
      </c>
      <c r="E25" s="28" t="e">
        <f t="shared" si="10"/>
        <v>#REF!</v>
      </c>
      <c r="F25" s="28" t="e">
        <f t="shared" si="10"/>
        <v>#REF!</v>
      </c>
      <c r="G25" s="28" t="e">
        <f t="shared" ref="G25" si="11">G20+G23+G24</f>
        <v>#REF!</v>
      </c>
      <c r="H25" s="28">
        <v>624.2462139999999</v>
      </c>
      <c r="I25" s="28">
        <v>1544.192542</v>
      </c>
      <c r="J25" s="183">
        <v>991.05029000000036</v>
      </c>
    </row>
    <row r="26" spans="2:12" s="29" customFormat="1" x14ac:dyDescent="0.25">
      <c r="B26" s="154" t="s">
        <v>39</v>
      </c>
      <c r="C26" s="155" t="e">
        <f t="shared" ref="C26:F26" si="12">C25/C5</f>
        <v>#REF!</v>
      </c>
      <c r="D26" s="155" t="e">
        <f t="shared" si="12"/>
        <v>#REF!</v>
      </c>
      <c r="E26" s="155" t="e">
        <f t="shared" si="12"/>
        <v>#REF!</v>
      </c>
      <c r="F26" s="155" t="e">
        <f t="shared" si="12"/>
        <v>#REF!</v>
      </c>
      <c r="G26" s="155" t="e">
        <f t="shared" ref="G26" si="13">G25/G5</f>
        <v>#REF!</v>
      </c>
      <c r="H26" s="155">
        <v>0.46980908260235332</v>
      </c>
      <c r="I26" s="155">
        <v>0.52626899525642623</v>
      </c>
      <c r="J26" s="182">
        <v>0.34727562791142669</v>
      </c>
      <c r="L26" s="20"/>
    </row>
    <row r="27" spans="2:12" x14ac:dyDescent="0.25">
      <c r="B27" s="21"/>
      <c r="C27" s="22"/>
      <c r="D27" s="22"/>
      <c r="E27" s="22"/>
      <c r="F27" s="22"/>
      <c r="G27" s="22"/>
      <c r="H27" s="22"/>
      <c r="I27" s="22"/>
      <c r="J27" s="177"/>
      <c r="L27" s="20"/>
    </row>
    <row r="28" spans="2:12" x14ac:dyDescent="0.25">
      <c r="B28" s="21" t="s">
        <v>53</v>
      </c>
      <c r="C28" s="36" t="e">
        <f>+(#REF!-#REF!)/1000000</f>
        <v>#REF!</v>
      </c>
      <c r="D28" s="57" t="e">
        <f>+(#REF!-#REF!)/1000000</f>
        <v>#REF!</v>
      </c>
      <c r="E28" s="57" t="e">
        <f>+(#REF!-#REF!)/1000000</f>
        <v>#REF!</v>
      </c>
      <c r="F28" s="57" t="e">
        <f>(#REF!-#REF!)/1000000</f>
        <v>#REF!</v>
      </c>
      <c r="G28" s="57" t="e">
        <f>+(#REF!-#REF!)/1000000</f>
        <v>#REF!</v>
      </c>
      <c r="H28" s="57">
        <v>-1029.9518129999999</v>
      </c>
      <c r="I28" s="57">
        <v>-372.028051</v>
      </c>
      <c r="J28" s="178">
        <v>-291.113495</v>
      </c>
      <c r="L28" s="20"/>
    </row>
    <row r="29" spans="2:12" x14ac:dyDescent="0.25">
      <c r="B29" s="21" t="s">
        <v>56</v>
      </c>
      <c r="C29" s="57" t="e">
        <f>+#REF!/-1000000+#REF!/1000000</f>
        <v>#REF!</v>
      </c>
      <c r="D29" s="57" t="e">
        <f>+#REF!/-1000000+#REF!/1000000</f>
        <v>#REF!</v>
      </c>
      <c r="E29" s="57" t="e">
        <f>+#REF!/-1000000+#REF!/1000000</f>
        <v>#REF!</v>
      </c>
      <c r="F29" s="57" t="e">
        <f>(#REF!-#REF!)/1000000</f>
        <v>#REF!</v>
      </c>
      <c r="G29" s="57" t="e">
        <f>+#REF!/-1000000+#REF!/1000000</f>
        <v>#REF!</v>
      </c>
      <c r="H29" s="57">
        <v>0</v>
      </c>
      <c r="I29" s="57">
        <v>0</v>
      </c>
      <c r="J29" s="178">
        <v>0</v>
      </c>
      <c r="L29" s="20"/>
    </row>
    <row r="30" spans="2:12" x14ac:dyDescent="0.25">
      <c r="B30" s="21" t="s">
        <v>82</v>
      </c>
      <c r="C30" s="57" t="e">
        <f>+#REF!/1000000</f>
        <v>#REF!</v>
      </c>
      <c r="D30" s="57" t="e">
        <f>+#REF!/1000000</f>
        <v>#REF!</v>
      </c>
      <c r="E30" s="57" t="e">
        <f>+#REF!/1000000</f>
        <v>#REF!</v>
      </c>
      <c r="F30" s="57" t="e">
        <f>+#REF!/-1000000</f>
        <v>#REF!</v>
      </c>
      <c r="G30" s="57" t="e">
        <f>+#REF!/1000000</f>
        <v>#REF!</v>
      </c>
      <c r="H30" s="57">
        <v>0</v>
      </c>
      <c r="I30" s="57">
        <v>0</v>
      </c>
      <c r="J30" s="178">
        <v>0</v>
      </c>
      <c r="L30" s="20"/>
    </row>
    <row r="31" spans="2:12" x14ac:dyDescent="0.25">
      <c r="B31" s="21" t="s">
        <v>54</v>
      </c>
      <c r="C31" s="58" t="e">
        <f>+#REF!/-1000000</f>
        <v>#REF!</v>
      </c>
      <c r="D31" s="58" t="e">
        <f>+#REF!/-1000000</f>
        <v>#REF!</v>
      </c>
      <c r="E31" s="58" t="e">
        <f>+#REF!/-1000000</f>
        <v>#REF!</v>
      </c>
      <c r="F31" s="58" t="e">
        <f>+#REF!/-1000000</f>
        <v>#REF!</v>
      </c>
      <c r="G31" s="58" t="e">
        <f>+#REF!/-1000000</f>
        <v>#REF!</v>
      </c>
      <c r="H31" s="58">
        <v>-118.877133</v>
      </c>
      <c r="I31" s="58">
        <v>-249.14480900000001</v>
      </c>
      <c r="J31" s="181">
        <v>-177.84809999999999</v>
      </c>
      <c r="L31" s="20"/>
    </row>
    <row r="32" spans="2:12" s="20" customFormat="1" x14ac:dyDescent="0.25">
      <c r="B32" s="27" t="s">
        <v>87</v>
      </c>
      <c r="C32" s="28" t="e">
        <f t="shared" ref="C32:E32" si="14">C25+C28+C29+C31+C30</f>
        <v>#REF!</v>
      </c>
      <c r="D32" s="28" t="e">
        <f t="shared" si="14"/>
        <v>#REF!</v>
      </c>
      <c r="E32" s="28" t="e">
        <f t="shared" si="14"/>
        <v>#REF!</v>
      </c>
      <c r="F32" s="28" t="e">
        <f>F25+F28+F29+F31+F30</f>
        <v>#REF!</v>
      </c>
      <c r="G32" s="28" t="e">
        <f t="shared" ref="G32" si="15">G25+G28+G29+G31+G30</f>
        <v>#REF!</v>
      </c>
      <c r="H32" s="28">
        <v>-524.58273199999996</v>
      </c>
      <c r="I32" s="28">
        <v>923.01968199999999</v>
      </c>
      <c r="J32" s="183">
        <v>522.08869500000037</v>
      </c>
    </row>
    <row r="33" spans="2:12" s="20" customFormat="1" x14ac:dyDescent="0.25">
      <c r="B33" s="154" t="s">
        <v>39</v>
      </c>
      <c r="C33" s="153"/>
      <c r="D33" s="155" t="e">
        <f>D32/D5</f>
        <v>#REF!</v>
      </c>
      <c r="E33" s="155" t="e">
        <f t="shared" ref="E33:G33" si="16">E32/E5</f>
        <v>#REF!</v>
      </c>
      <c r="F33" s="155" t="e">
        <f t="shared" si="16"/>
        <v>#REF!</v>
      </c>
      <c r="G33" s="155" t="e">
        <f t="shared" si="16"/>
        <v>#REF!</v>
      </c>
      <c r="H33" s="155">
        <v>-0.3948021254157838</v>
      </c>
      <c r="I33" s="155">
        <v>0.31456999527980234</v>
      </c>
      <c r="J33" s="182">
        <v>0.18294599296427472</v>
      </c>
    </row>
    <row r="34" spans="2:12" s="20" customFormat="1" x14ac:dyDescent="0.25">
      <c r="B34" s="42"/>
      <c r="C34" s="30"/>
      <c r="D34" s="30"/>
      <c r="E34" s="30"/>
      <c r="F34" s="30"/>
      <c r="G34" s="30"/>
      <c r="H34" s="30"/>
      <c r="I34" s="30"/>
      <c r="J34" s="31"/>
    </row>
    <row r="35" spans="2:12" s="20" customFormat="1" x14ac:dyDescent="0.25">
      <c r="B35" s="42" t="s">
        <v>106</v>
      </c>
      <c r="C35" s="30" t="e">
        <f>#REF!/1000000</f>
        <v>#REF!</v>
      </c>
      <c r="D35" s="63" t="e">
        <f>#REF!/1000000</f>
        <v>#REF!</v>
      </c>
      <c r="E35" s="63" t="e">
        <f>#REF!/1000000</f>
        <v>#REF!</v>
      </c>
      <c r="F35" s="63" t="e">
        <f>#REF!/1000000</f>
        <v>#REF!</v>
      </c>
      <c r="G35" s="63" t="e">
        <f>#REF!/1000000</f>
        <v>#REF!</v>
      </c>
      <c r="H35" s="63">
        <v>0</v>
      </c>
      <c r="I35" s="63">
        <v>0</v>
      </c>
      <c r="J35" s="184">
        <v>0</v>
      </c>
    </row>
    <row r="36" spans="2:12" s="20" customFormat="1" x14ac:dyDescent="0.25">
      <c r="B36" s="69" t="s">
        <v>113</v>
      </c>
      <c r="C36" s="70" t="e">
        <f t="shared" ref="C36:G36" si="17">+C32+C35</f>
        <v>#REF!</v>
      </c>
      <c r="D36" s="71" t="e">
        <f t="shared" si="17"/>
        <v>#REF!</v>
      </c>
      <c r="E36" s="71" t="e">
        <f t="shared" si="17"/>
        <v>#REF!</v>
      </c>
      <c r="F36" s="71" t="e">
        <f t="shared" si="17"/>
        <v>#REF!</v>
      </c>
      <c r="G36" s="71" t="e">
        <f t="shared" si="17"/>
        <v>#REF!</v>
      </c>
      <c r="H36" s="71">
        <v>-524.58273199999996</v>
      </c>
      <c r="I36" s="71">
        <v>923.01968199999999</v>
      </c>
      <c r="J36" s="185">
        <v>522.08869500000037</v>
      </c>
    </row>
    <row r="37" spans="2:12" s="20" customFormat="1" x14ac:dyDescent="0.25">
      <c r="B37" s="156" t="s">
        <v>39</v>
      </c>
      <c r="C37" s="157"/>
      <c r="D37" s="158" t="e">
        <f>D36/D5</f>
        <v>#REF!</v>
      </c>
      <c r="E37" s="158" t="e">
        <f t="shared" ref="E37:G37" si="18">E36/E5</f>
        <v>#REF!</v>
      </c>
      <c r="F37" s="158" t="e">
        <f t="shared" si="18"/>
        <v>#REF!</v>
      </c>
      <c r="G37" s="158" t="e">
        <f t="shared" si="18"/>
        <v>#REF!</v>
      </c>
      <c r="H37" s="158">
        <v>-0.3948021254157838</v>
      </c>
      <c r="I37" s="158">
        <v>0.31456999527980234</v>
      </c>
      <c r="J37" s="186">
        <v>0.18294599296427472</v>
      </c>
    </row>
    <row r="38" spans="2:12" s="20" customFormat="1" x14ac:dyDescent="0.25">
      <c r="B38" s="42"/>
      <c r="C38" s="62"/>
      <c r="D38" s="61"/>
      <c r="E38" s="61"/>
      <c r="F38" s="61"/>
      <c r="G38" s="61"/>
      <c r="H38" s="61"/>
      <c r="I38" s="61"/>
      <c r="J38" s="187"/>
    </row>
    <row r="39" spans="2:12" s="20" customFormat="1" x14ac:dyDescent="0.25">
      <c r="B39" s="68" t="s">
        <v>86</v>
      </c>
      <c r="C39" s="63" t="e">
        <f>+#REF!/1000000</f>
        <v>#REF!</v>
      </c>
      <c r="D39" s="63" t="e">
        <f>+#REF!/1000000</f>
        <v>#REF!</v>
      </c>
      <c r="E39" s="63" t="e">
        <f>+#REF!/1000000</f>
        <v>#REF!</v>
      </c>
      <c r="F39" s="63" t="e">
        <f>+#REF!/1000000</f>
        <v>#REF!</v>
      </c>
      <c r="G39" s="63" t="e">
        <f>+#REF!/1000000</f>
        <v>#REF!</v>
      </c>
      <c r="H39" s="63">
        <v>0</v>
      </c>
      <c r="I39" s="63">
        <v>0</v>
      </c>
      <c r="J39" s="184">
        <v>0</v>
      </c>
    </row>
    <row r="40" spans="2:12" s="20" customFormat="1" x14ac:dyDescent="0.25">
      <c r="B40" s="47" t="s">
        <v>112</v>
      </c>
      <c r="C40" s="26" t="e">
        <f t="shared" ref="C40:E40" si="19">+C36-C39</f>
        <v>#REF!</v>
      </c>
      <c r="D40" s="26" t="e">
        <f t="shared" si="19"/>
        <v>#REF!</v>
      </c>
      <c r="E40" s="26" t="e">
        <f t="shared" si="19"/>
        <v>#REF!</v>
      </c>
      <c r="F40" s="26" t="e">
        <f>+F36-F39</f>
        <v>#REF!</v>
      </c>
      <c r="G40" s="26" t="e">
        <f>+G36-G39</f>
        <v>#REF!</v>
      </c>
      <c r="H40" s="26">
        <v>-524.58273199999996</v>
      </c>
      <c r="I40" s="26">
        <v>923.01968199999999</v>
      </c>
      <c r="J40" s="180">
        <v>522.08869500000037</v>
      </c>
    </row>
    <row r="41" spans="2:12" s="29" customFormat="1" x14ac:dyDescent="0.25">
      <c r="B41" s="159" t="s">
        <v>39</v>
      </c>
      <c r="C41" s="160" t="e">
        <f t="shared" ref="C41:G41" si="20">C32/C5</f>
        <v>#REF!</v>
      </c>
      <c r="D41" s="160" t="e">
        <f t="shared" si="20"/>
        <v>#REF!</v>
      </c>
      <c r="E41" s="160" t="e">
        <f t="shared" si="20"/>
        <v>#REF!</v>
      </c>
      <c r="F41" s="160" t="e">
        <f t="shared" si="20"/>
        <v>#REF!</v>
      </c>
      <c r="G41" s="160" t="e">
        <f t="shared" si="20"/>
        <v>#REF!</v>
      </c>
      <c r="H41" s="160">
        <v>-0.3948021254157838</v>
      </c>
      <c r="I41" s="160">
        <v>0.31456999527980234</v>
      </c>
      <c r="J41" s="188">
        <v>0.18294599296427472</v>
      </c>
      <c r="L41" s="20"/>
    </row>
    <row r="42" spans="2:12" x14ac:dyDescent="0.25">
      <c r="C42" s="32"/>
      <c r="D42" s="22"/>
      <c r="H42" s="33"/>
      <c r="I42" s="17"/>
      <c r="J42" s="17"/>
      <c r="L42" s="20"/>
    </row>
    <row r="43" spans="2:12" s="20" customFormat="1" x14ac:dyDescent="0.25">
      <c r="B43" s="18" t="s">
        <v>61</v>
      </c>
      <c r="C43" s="19">
        <v>41639</v>
      </c>
      <c r="D43" s="19">
        <v>42004</v>
      </c>
      <c r="E43" s="152">
        <v>2015</v>
      </c>
      <c r="F43" s="152">
        <v>2016</v>
      </c>
      <c r="G43" s="152">
        <v>2017</v>
      </c>
      <c r="H43" s="152">
        <v>2018</v>
      </c>
      <c r="I43" s="152">
        <v>2019</v>
      </c>
      <c r="J43" s="176">
        <v>2020</v>
      </c>
    </row>
    <row r="44" spans="2:12" x14ac:dyDescent="0.25">
      <c r="B44" s="21"/>
      <c r="C44" s="22"/>
      <c r="D44" s="22"/>
      <c r="E44" s="22"/>
      <c r="F44" s="22"/>
      <c r="G44" s="22"/>
      <c r="H44" s="22"/>
      <c r="I44" s="22"/>
      <c r="J44" s="177"/>
    </row>
    <row r="45" spans="2:12" hidden="1" x14ac:dyDescent="0.25">
      <c r="B45" s="21" t="s">
        <v>0</v>
      </c>
      <c r="C45" s="36" t="e">
        <f>#REF!/1000</f>
        <v>#REF!</v>
      </c>
      <c r="D45" s="57" t="e">
        <f>#REF!/1000000</f>
        <v>#REF!</v>
      </c>
      <c r="E45" s="57" t="e">
        <f>#REF!/1000000</f>
        <v>#REF!</v>
      </c>
      <c r="F45" s="57" t="e">
        <f>#REF!/1000000</f>
        <v>#REF!</v>
      </c>
      <c r="G45" s="57" t="e">
        <f>#REF!/1000000</f>
        <v>#REF!</v>
      </c>
      <c r="H45" s="57">
        <v>0</v>
      </c>
      <c r="I45" s="57">
        <v>0</v>
      </c>
      <c r="J45" s="178">
        <v>0</v>
      </c>
    </row>
    <row r="46" spans="2:12" x14ac:dyDescent="0.25">
      <c r="B46" s="23" t="s">
        <v>1</v>
      </c>
      <c r="C46" s="57" t="e">
        <f>#REF!/1000000</f>
        <v>#REF!</v>
      </c>
      <c r="D46" s="57" t="e">
        <f>#REF!/1000000</f>
        <v>#REF!</v>
      </c>
      <c r="E46" s="57" t="e">
        <f>#REF!/1000000</f>
        <v>#REF!</v>
      </c>
      <c r="F46" s="57" t="e">
        <f>#REF!/1000000</f>
        <v>#REF!</v>
      </c>
      <c r="G46" s="57" t="e">
        <f>#REF!/1000000</f>
        <v>#REF!</v>
      </c>
      <c r="H46" s="57">
        <v>0</v>
      </c>
      <c r="I46" s="57">
        <v>360.79116900000002</v>
      </c>
      <c r="J46" s="178">
        <v>340.36649999999997</v>
      </c>
    </row>
    <row r="47" spans="2:12" x14ac:dyDescent="0.25">
      <c r="B47" s="23" t="s">
        <v>2</v>
      </c>
      <c r="C47" s="57" t="e">
        <f>+#REF!/1000000+#REF!/1000000</f>
        <v>#REF!</v>
      </c>
      <c r="D47" s="57" t="e">
        <f>+#REF!/1000000+#REF!/1000000</f>
        <v>#REF!</v>
      </c>
      <c r="E47" s="57" t="e">
        <f>+#REF!/1000000+#REF!/1000000</f>
        <v>#REF!</v>
      </c>
      <c r="F47" s="57" t="e">
        <f>+#REF!/1000000+#REF!/1000000</f>
        <v>#REF!</v>
      </c>
      <c r="G47" s="57" t="e">
        <f>+#REF!/1000000+#REF!/1000000</f>
        <v>#REF!</v>
      </c>
      <c r="H47" s="57">
        <v>9741.5375870000007</v>
      </c>
      <c r="I47" s="57">
        <v>7830.601823</v>
      </c>
      <c r="J47" s="178">
        <v>6872.2470389999999</v>
      </c>
    </row>
    <row r="48" spans="2:12" x14ac:dyDescent="0.25">
      <c r="B48" s="21" t="s">
        <v>3</v>
      </c>
      <c r="C48" s="57" t="e">
        <f>+#REF!/1000000</f>
        <v>#REF!</v>
      </c>
      <c r="D48" s="57" t="e">
        <f>+#REF!/1000000</f>
        <v>#REF!</v>
      </c>
      <c r="E48" s="57" t="e">
        <f>+#REF!/1000000</f>
        <v>#REF!</v>
      </c>
      <c r="F48" s="57" t="e">
        <f>+#REF!/1000000</f>
        <v>#REF!</v>
      </c>
      <c r="G48" s="57" t="e">
        <f>+#REF!/1000000</f>
        <v>#REF!</v>
      </c>
      <c r="H48" s="57">
        <v>0.74391799999999997</v>
      </c>
      <c r="I48" s="57">
        <v>0.74391799999999997</v>
      </c>
      <c r="J48" s="178">
        <v>1.8199179999999999</v>
      </c>
    </row>
    <row r="49" spans="2:10" hidden="1" x14ac:dyDescent="0.25">
      <c r="B49" s="21" t="s">
        <v>25</v>
      </c>
      <c r="C49" s="57"/>
      <c r="D49" s="57" t="e">
        <f>#REF!/1000000</f>
        <v>#REF!</v>
      </c>
      <c r="E49" s="57" t="e">
        <f>#REF!/1000000</f>
        <v>#REF!</v>
      </c>
      <c r="F49" s="57" t="e">
        <f>#REF!/1000000</f>
        <v>#REF!</v>
      </c>
      <c r="G49" s="57" t="e">
        <f>#REF!/1000000</f>
        <v>#REF!</v>
      </c>
      <c r="H49" s="57">
        <v>0</v>
      </c>
      <c r="I49" s="57">
        <v>0</v>
      </c>
      <c r="J49" s="178">
        <v>0</v>
      </c>
    </row>
    <row r="50" spans="2:10" x14ac:dyDescent="0.25">
      <c r="B50" s="21" t="s">
        <v>4</v>
      </c>
      <c r="C50" s="57" t="e">
        <f>+#REF!/1000000</f>
        <v>#REF!</v>
      </c>
      <c r="D50" s="57" t="e">
        <f>+#REF!/1000000</f>
        <v>#REF!</v>
      </c>
      <c r="E50" s="57" t="e">
        <f>+#REF!/1000000</f>
        <v>#REF!</v>
      </c>
      <c r="F50" s="57" t="e">
        <f>+#REF!/1000000</f>
        <v>#REF!</v>
      </c>
      <c r="G50" s="57" t="e">
        <f>+#REF!/1000000</f>
        <v>#REF!</v>
      </c>
      <c r="H50" s="57">
        <v>0</v>
      </c>
      <c r="I50" s="57">
        <v>0</v>
      </c>
      <c r="J50" s="178">
        <v>0</v>
      </c>
    </row>
    <row r="51" spans="2:10" x14ac:dyDescent="0.25">
      <c r="B51" s="21" t="s">
        <v>5</v>
      </c>
      <c r="C51" s="57" t="e">
        <f>+#REF!/1000000</f>
        <v>#REF!</v>
      </c>
      <c r="D51" s="57" t="e">
        <f>+#REF!/1000000</f>
        <v>#REF!</v>
      </c>
      <c r="E51" s="57" t="e">
        <f>+#REF!/1000000</f>
        <v>#REF!</v>
      </c>
      <c r="F51" s="57" t="e">
        <f>+#REF!/1000000</f>
        <v>#REF!</v>
      </c>
      <c r="G51" s="57" t="e">
        <f>+#REF!/1000000</f>
        <v>#REF!</v>
      </c>
      <c r="H51" s="57">
        <v>1292.0130079999999</v>
      </c>
      <c r="I51" s="57">
        <v>2058.3478279999999</v>
      </c>
      <c r="J51" s="178">
        <v>3234.9074500000002</v>
      </c>
    </row>
    <row r="52" spans="2:10" x14ac:dyDescent="0.25">
      <c r="B52" s="21" t="s">
        <v>57</v>
      </c>
      <c r="C52" s="58" t="e">
        <f>+#REF!/1000000</f>
        <v>#REF!</v>
      </c>
      <c r="D52" s="58" t="e">
        <f>+#REF!/1000000</f>
        <v>#REF!</v>
      </c>
      <c r="E52" s="58" t="e">
        <f>+#REF!/1000000</f>
        <v>#REF!</v>
      </c>
      <c r="F52" s="58" t="e">
        <f>+#REF!/1000000</f>
        <v>#REF!</v>
      </c>
      <c r="G52" s="58" t="e">
        <f>+#REF!/1000000</f>
        <v>#REF!</v>
      </c>
      <c r="H52" s="58">
        <v>71.016086000000001</v>
      </c>
      <c r="I52" s="58">
        <v>396.931083</v>
      </c>
      <c r="J52" s="181">
        <v>712.99048400000004</v>
      </c>
    </row>
    <row r="53" spans="2:10" s="20" customFormat="1" x14ac:dyDescent="0.25">
      <c r="B53" s="34" t="s">
        <v>23</v>
      </c>
      <c r="C53" s="35" t="e">
        <f t="shared" ref="C53" si="21">SUM(C45:C52)</f>
        <v>#REF!</v>
      </c>
      <c r="D53" s="35" t="e">
        <f t="shared" ref="D53:G53" si="22">SUM(D45:D52)</f>
        <v>#REF!</v>
      </c>
      <c r="E53" s="35" t="e">
        <f t="shared" si="22"/>
        <v>#REF!</v>
      </c>
      <c r="F53" s="35" t="e">
        <f t="shared" si="22"/>
        <v>#REF!</v>
      </c>
      <c r="G53" s="56" t="e">
        <f t="shared" si="22"/>
        <v>#REF!</v>
      </c>
      <c r="H53" s="35">
        <v>11105.310599</v>
      </c>
      <c r="I53" s="56">
        <v>10647.415820999999</v>
      </c>
      <c r="J53" s="189">
        <v>11162.331391</v>
      </c>
    </row>
    <row r="54" spans="2:10" x14ac:dyDescent="0.25">
      <c r="B54" s="23"/>
      <c r="C54" s="22"/>
      <c r="D54" s="22"/>
      <c r="E54" s="22"/>
      <c r="F54" s="22"/>
      <c r="G54" s="22"/>
      <c r="H54" s="22"/>
      <c r="I54" s="22"/>
      <c r="J54" s="177"/>
    </row>
    <row r="55" spans="2:10" x14ac:dyDescent="0.25">
      <c r="B55" s="23" t="s">
        <v>6</v>
      </c>
      <c r="C55" s="36" t="e">
        <f>(#REF!)/1000000</f>
        <v>#REF!</v>
      </c>
      <c r="D55" s="57" t="e">
        <f>(#REF!)/1000000</f>
        <v>#REF!</v>
      </c>
      <c r="E55" s="57" t="e">
        <f>(#REF!)/1000000</f>
        <v>#REF!</v>
      </c>
      <c r="F55" s="57" t="e">
        <f>(#REF!)/1000000</f>
        <v>#REF!</v>
      </c>
      <c r="G55" s="57" t="e">
        <f>(#REF!)/1000000</f>
        <v>#REF!</v>
      </c>
      <c r="H55" s="57">
        <v>10</v>
      </c>
      <c r="I55" s="57">
        <v>10</v>
      </c>
      <c r="J55" s="178">
        <v>10</v>
      </c>
    </row>
    <row r="56" spans="2:10" x14ac:dyDescent="0.25">
      <c r="B56" s="23" t="s">
        <v>89</v>
      </c>
      <c r="C56" s="57" t="e">
        <f>SUM(#REF!)/1000000</f>
        <v>#REF!</v>
      </c>
      <c r="D56" s="57" t="e">
        <f>SUM(#REF!)/1000000</f>
        <v>#REF!</v>
      </c>
      <c r="E56" s="57" t="e">
        <f>SUM(#REF!)/1000000</f>
        <v>#REF!</v>
      </c>
      <c r="F56" s="57" t="e">
        <f>SUM(#REF!)/1000000</f>
        <v>#REF!</v>
      </c>
      <c r="G56" s="57" t="e">
        <f>SUM(#REF!)/1000000</f>
        <v>#REF!</v>
      </c>
      <c r="H56" s="57">
        <v>0</v>
      </c>
      <c r="I56" s="57">
        <v>0</v>
      </c>
      <c r="J56" s="178">
        <v>2</v>
      </c>
    </row>
    <row r="57" spans="2:10" x14ac:dyDescent="0.25">
      <c r="B57" s="23" t="s">
        <v>7</v>
      </c>
      <c r="C57" s="57" t="e">
        <f>#REF!/1000000</f>
        <v>#REF!</v>
      </c>
      <c r="D57" s="57" t="e">
        <f>#REF!/1000000</f>
        <v>#REF!</v>
      </c>
      <c r="E57" s="57" t="e">
        <f>#REF!/1000000</f>
        <v>#REF!</v>
      </c>
      <c r="F57" s="57" t="e">
        <f>#REF!/1000000</f>
        <v>#REF!</v>
      </c>
      <c r="G57" s="57" t="e">
        <f>#REF!/1000000</f>
        <v>#REF!</v>
      </c>
      <c r="H57" s="57">
        <v>-463.81475599999999</v>
      </c>
      <c r="I57" s="57">
        <v>-988.39748799999995</v>
      </c>
      <c r="J57" s="178">
        <v>-67.377806000000007</v>
      </c>
    </row>
    <row r="58" spans="2:10" x14ac:dyDescent="0.25">
      <c r="B58" s="23" t="s">
        <v>179</v>
      </c>
      <c r="C58" s="57" t="e">
        <f>C40</f>
        <v>#REF!</v>
      </c>
      <c r="D58" s="57" t="e">
        <f>#REF!/1000000</f>
        <v>#REF!</v>
      </c>
      <c r="E58" s="57" t="e">
        <f>#REF!/1000000</f>
        <v>#REF!</v>
      </c>
      <c r="F58" s="57" t="e">
        <f>#REF!/1000000</f>
        <v>#REF!</v>
      </c>
      <c r="G58" s="57" t="e">
        <f>#REF!/1000000</f>
        <v>#REF!</v>
      </c>
      <c r="H58" s="57">
        <v>-524.58273199999996</v>
      </c>
      <c r="I58" s="57">
        <v>923.01968199999999</v>
      </c>
      <c r="J58" s="178">
        <v>522.08869500000003</v>
      </c>
    </row>
    <row r="59" spans="2:10" x14ac:dyDescent="0.25">
      <c r="B59" s="23" t="s">
        <v>178</v>
      </c>
      <c r="C59" s="57" t="e">
        <f t="shared" ref="C59:F59" si="23">SUM(C55:C57,C58)</f>
        <v>#REF!</v>
      </c>
      <c r="D59" s="57" t="e">
        <f t="shared" si="23"/>
        <v>#REF!</v>
      </c>
      <c r="E59" s="57" t="e">
        <f t="shared" si="23"/>
        <v>#REF!</v>
      </c>
      <c r="F59" s="57" t="e">
        <f t="shared" si="23"/>
        <v>#REF!</v>
      </c>
      <c r="G59" s="57" t="e">
        <f>SUM(G55:G57,G58)</f>
        <v>#REF!</v>
      </c>
      <c r="H59" s="57">
        <v>10419.356271000001</v>
      </c>
      <c r="I59" s="57">
        <v>10228.520904999999</v>
      </c>
      <c r="J59" s="57">
        <v>10136.525086</v>
      </c>
    </row>
    <row r="60" spans="2:10" x14ac:dyDescent="0.25">
      <c r="B60" s="23" t="s">
        <v>142</v>
      </c>
      <c r="C60" s="57"/>
      <c r="D60" s="57" t="e">
        <f>#REF!/1000000</f>
        <v>#REF!</v>
      </c>
      <c r="E60" s="57" t="e">
        <f>#REF!/1000000</f>
        <v>#REF!</v>
      </c>
      <c r="F60" s="57" t="e">
        <f>#REF!/1000000</f>
        <v>#REF!</v>
      </c>
      <c r="G60" s="57" t="e">
        <f>#REF!/1000000</f>
        <v>#REF!</v>
      </c>
      <c r="H60" s="57">
        <v>0</v>
      </c>
      <c r="I60" s="57">
        <v>0</v>
      </c>
      <c r="J60" s="178">
        <v>0</v>
      </c>
    </row>
    <row r="61" spans="2:10" x14ac:dyDescent="0.25">
      <c r="B61" s="23" t="s">
        <v>83</v>
      </c>
      <c r="C61" s="57" t="e">
        <f>#REF!/1000000</f>
        <v>#REF!</v>
      </c>
      <c r="D61" s="57" t="e">
        <f>#REF!/1000000</f>
        <v>#REF!</v>
      </c>
      <c r="E61" s="57" t="e">
        <f>#REF!/1000000</f>
        <v>#REF!</v>
      </c>
      <c r="F61" s="57" t="e">
        <f>#REF!/1000000</f>
        <v>#REF!</v>
      </c>
      <c r="G61" s="57" t="e">
        <f>#REF!/1000000</f>
        <v>#REF!</v>
      </c>
      <c r="H61" s="57">
        <v>0</v>
      </c>
      <c r="I61" s="57">
        <v>0</v>
      </c>
      <c r="J61" s="178">
        <v>0</v>
      </c>
    </row>
    <row r="62" spans="2:10" s="20" customFormat="1" x14ac:dyDescent="0.25">
      <c r="B62" s="54" t="s">
        <v>107</v>
      </c>
      <c r="C62" s="59" t="e">
        <f>C59+C61</f>
        <v>#REF!</v>
      </c>
      <c r="D62" s="59" t="e">
        <f>D59+SUM(D60:D61)</f>
        <v>#REF!</v>
      </c>
      <c r="E62" s="59" t="e">
        <f t="shared" ref="E62:G62" si="24">E59+SUM(E60:E61)</f>
        <v>#REF!</v>
      </c>
      <c r="F62" s="59" t="e">
        <f t="shared" si="24"/>
        <v>#REF!</v>
      </c>
      <c r="G62" s="59" t="e">
        <f t="shared" si="24"/>
        <v>#REF!</v>
      </c>
      <c r="H62" s="59">
        <v>9440.958783</v>
      </c>
      <c r="I62" s="59">
        <v>10173.143098999999</v>
      </c>
      <c r="J62" s="190">
        <v>10603.235975</v>
      </c>
    </row>
    <row r="63" spans="2:10" x14ac:dyDescent="0.25">
      <c r="B63" s="21" t="s">
        <v>58</v>
      </c>
      <c r="C63" s="57" t="e">
        <f>(#REF!)/1000000</f>
        <v>#REF!</v>
      </c>
      <c r="D63" s="57" t="e">
        <f>(#REF!)/1000000</f>
        <v>#REF!</v>
      </c>
      <c r="E63" s="57" t="e">
        <f>(#REF!)/1000000</f>
        <v>#REF!</v>
      </c>
      <c r="F63" s="57" t="e">
        <f>(#REF!)/1000000</f>
        <v>#REF!</v>
      </c>
      <c r="G63" s="57" t="e">
        <f>(#REF!)/1000000</f>
        <v>#REF!</v>
      </c>
      <c r="H63" s="57">
        <v>0.21382799999999999</v>
      </c>
      <c r="I63" s="57">
        <v>1.906506</v>
      </c>
      <c r="J63" s="178">
        <v>3.5009079999999999</v>
      </c>
    </row>
    <row r="64" spans="2:10" hidden="1" x14ac:dyDescent="0.25">
      <c r="B64" s="21" t="s">
        <v>26</v>
      </c>
      <c r="C64" s="57" t="e">
        <f>(#REF!)/1000000</f>
        <v>#REF!</v>
      </c>
      <c r="D64" s="57" t="e">
        <f>(#REF!)/1000000</f>
        <v>#REF!</v>
      </c>
      <c r="E64" s="57" t="e">
        <f>(#REF!)/1000000</f>
        <v>#REF!</v>
      </c>
      <c r="F64" s="57" t="e">
        <f>(#REF!)/1000000</f>
        <v>#REF!</v>
      </c>
      <c r="G64" s="57" t="e">
        <f>(#REF!)/1000000</f>
        <v>#REF!</v>
      </c>
      <c r="H64" s="57">
        <v>0</v>
      </c>
      <c r="I64" s="57">
        <v>0</v>
      </c>
      <c r="J64" s="178">
        <v>0</v>
      </c>
    </row>
    <row r="65" spans="2:11" x14ac:dyDescent="0.25">
      <c r="B65" s="21" t="s">
        <v>8</v>
      </c>
      <c r="C65" s="57" t="e">
        <f>(#REF!)/1000000</f>
        <v>#REF!</v>
      </c>
      <c r="D65" s="57" t="e">
        <f>(#REF!)/1000000</f>
        <v>#REF!</v>
      </c>
      <c r="E65" s="57" t="e">
        <f>(#REF!)/1000000</f>
        <v>#REF!</v>
      </c>
      <c r="F65" s="57" t="e">
        <f>(#REF!)/1000000</f>
        <v>#REF!</v>
      </c>
      <c r="G65" s="57" t="e">
        <f>(#REF!)/1000000</f>
        <v>#REF!</v>
      </c>
      <c r="H65" s="57">
        <v>0</v>
      </c>
      <c r="I65" s="57">
        <v>0</v>
      </c>
      <c r="J65" s="178">
        <v>0</v>
      </c>
    </row>
    <row r="66" spans="2:11" x14ac:dyDescent="0.25">
      <c r="B66" s="21" t="s">
        <v>9</v>
      </c>
      <c r="C66" s="57" t="e">
        <f>(#REF!)/1000000</f>
        <v>#REF!</v>
      </c>
      <c r="D66" s="57" t="e">
        <f>(#REF!)/1000000</f>
        <v>#REF!</v>
      </c>
      <c r="E66" s="57" t="e">
        <f>(#REF!)/1000000</f>
        <v>#REF!</v>
      </c>
      <c r="F66" s="57" t="e">
        <f>(#REF!)/1000000</f>
        <v>#REF!</v>
      </c>
      <c r="G66" s="57" t="e">
        <f>(#REF!)/1000000</f>
        <v>#REF!</v>
      </c>
      <c r="H66" s="57">
        <v>1083.544361</v>
      </c>
      <c r="I66" s="57">
        <v>71.290216999999998</v>
      </c>
      <c r="J66" s="178">
        <v>62.158484000000001</v>
      </c>
    </row>
    <row r="67" spans="2:11" x14ac:dyDescent="0.25">
      <c r="B67" s="21" t="s">
        <v>174</v>
      </c>
      <c r="C67" s="57" t="e">
        <f>(#REF!)/1000000</f>
        <v>#REF!</v>
      </c>
      <c r="D67" s="57" t="e">
        <f>(#REF!)/1000000</f>
        <v>#REF!</v>
      </c>
      <c r="E67" s="57" t="e">
        <f>(#REF!)/1000000</f>
        <v>#REF!</v>
      </c>
      <c r="F67" s="57" t="e">
        <f>(#REF!)/1000000</f>
        <v>#REF!</v>
      </c>
      <c r="G67" s="57" t="e">
        <f>(#REF!)/1000000</f>
        <v>#REF!</v>
      </c>
      <c r="H67" s="57">
        <v>580.58097299999997</v>
      </c>
      <c r="I67" s="57">
        <v>401.07599900000002</v>
      </c>
      <c r="J67" s="178">
        <v>469.22704599999997</v>
      </c>
    </row>
    <row r="68" spans="2:11" hidden="1" x14ac:dyDescent="0.25">
      <c r="B68" s="21" t="s">
        <v>10</v>
      </c>
      <c r="C68" s="57" t="e">
        <f>(#REF!)/1000000</f>
        <v>#REF!</v>
      </c>
      <c r="D68" s="57" t="e">
        <f>(#REF!)/1000000</f>
        <v>#REF!</v>
      </c>
      <c r="E68" s="57" t="e">
        <f>(#REF!)/1000000</f>
        <v>#REF!</v>
      </c>
      <c r="F68" s="57" t="e">
        <f>(#REF!)/1000000</f>
        <v>#REF!</v>
      </c>
      <c r="G68" s="57" t="e">
        <f>(#REF!)/1000000</f>
        <v>#REF!</v>
      </c>
      <c r="H68" s="57">
        <v>0</v>
      </c>
      <c r="I68" s="57">
        <v>0</v>
      </c>
      <c r="J68" s="178">
        <v>0</v>
      </c>
    </row>
    <row r="69" spans="2:11" x14ac:dyDescent="0.25">
      <c r="B69" s="21" t="s">
        <v>11</v>
      </c>
      <c r="C69" s="57" t="e">
        <f>(#REF!)/1000000+#REF!/1000000</f>
        <v>#REF!</v>
      </c>
      <c r="D69" s="57" t="e">
        <f>(#REF!)/1000000+#REF!/1000000</f>
        <v>#REF!</v>
      </c>
      <c r="E69" s="57" t="e">
        <f>(#REF!)/1000000+#REF!/1000000</f>
        <v>#REF!</v>
      </c>
      <c r="F69" s="57" t="e">
        <f>(#REF!)/1000000+#REF!/1000000</f>
        <v>#REF!</v>
      </c>
      <c r="G69" s="57" t="e">
        <f>(#REF!)/1000000+#REF!/1000000</f>
        <v>#REF!</v>
      </c>
      <c r="H69" s="57">
        <v>0</v>
      </c>
      <c r="I69" s="57">
        <v>0</v>
      </c>
      <c r="J69" s="178">
        <v>24.208977999999998</v>
      </c>
    </row>
    <row r="70" spans="2:11" x14ac:dyDescent="0.25">
      <c r="B70" s="21" t="s">
        <v>59</v>
      </c>
      <c r="C70" s="58" t="e">
        <f>(#REF!)/1000000</f>
        <v>#REF!</v>
      </c>
      <c r="D70" s="58" t="e">
        <f>(#REF!)/1000000</f>
        <v>#REF!</v>
      </c>
      <c r="E70" s="58" t="e">
        <f>(#REF!)/1000000</f>
        <v>#REF!</v>
      </c>
      <c r="F70" s="58" t="e">
        <f>(#REF!)/1000000</f>
        <v>#REF!</v>
      </c>
      <c r="G70" s="58" t="e">
        <f>(#REF!)/1000000</f>
        <v>#REF!</v>
      </c>
      <c r="H70" s="58">
        <v>1.2654E-2</v>
      </c>
      <c r="I70" s="58">
        <v>0</v>
      </c>
      <c r="J70" s="181">
        <v>0</v>
      </c>
    </row>
    <row r="71" spans="2:11" s="20" customFormat="1" x14ac:dyDescent="0.25">
      <c r="B71" s="34" t="s">
        <v>24</v>
      </c>
      <c r="C71" s="35" t="e">
        <f t="shared" ref="C71:E71" si="25">SUM(C62:C70)</f>
        <v>#REF!</v>
      </c>
      <c r="D71" s="35" t="e">
        <f t="shared" si="25"/>
        <v>#REF!</v>
      </c>
      <c r="E71" s="35" t="e">
        <f t="shared" si="25"/>
        <v>#REF!</v>
      </c>
      <c r="F71" s="35" t="e">
        <f>SUM(F62:F70)</f>
        <v>#REF!</v>
      </c>
      <c r="G71" s="56" t="e">
        <f>SUM(G62:G70)</f>
        <v>#REF!</v>
      </c>
      <c r="H71" s="35">
        <v>11105.310599</v>
      </c>
      <c r="I71" s="56">
        <v>10647.415820999999</v>
      </c>
      <c r="J71" s="189">
        <v>11162.331391</v>
      </c>
      <c r="K71" s="17"/>
    </row>
    <row r="72" spans="2:11" x14ac:dyDescent="0.25">
      <c r="C72" s="32"/>
      <c r="D72" s="22"/>
      <c r="H72" s="33"/>
      <c r="I72" s="17"/>
      <c r="J72" s="17"/>
    </row>
    <row r="73" spans="2:11" s="20" customFormat="1" x14ac:dyDescent="0.25">
      <c r="B73" s="18" t="s">
        <v>62</v>
      </c>
      <c r="C73" s="19">
        <v>41639</v>
      </c>
      <c r="D73" s="19">
        <v>42004</v>
      </c>
      <c r="E73" s="152">
        <v>2015</v>
      </c>
      <c r="F73" s="152">
        <v>2016</v>
      </c>
      <c r="G73" s="152">
        <v>2017</v>
      </c>
      <c r="H73" s="152">
        <v>2018</v>
      </c>
      <c r="I73" s="152">
        <v>2019</v>
      </c>
      <c r="J73" s="176">
        <v>2020</v>
      </c>
    </row>
    <row r="74" spans="2:11" x14ac:dyDescent="0.25">
      <c r="B74" s="21"/>
      <c r="C74" s="22"/>
      <c r="D74" s="22"/>
      <c r="E74" s="22"/>
      <c r="F74" s="22"/>
      <c r="G74" s="22"/>
      <c r="H74" s="22"/>
      <c r="I74" s="22"/>
      <c r="J74" s="177"/>
    </row>
    <row r="75" spans="2:11" s="20" customFormat="1" x14ac:dyDescent="0.25">
      <c r="B75" s="65" t="s">
        <v>108</v>
      </c>
      <c r="C75" s="55">
        <v>296328</v>
      </c>
      <c r="D75" s="114">
        <v>17837</v>
      </c>
      <c r="E75" s="114">
        <v>1878</v>
      </c>
      <c r="F75" s="114"/>
      <c r="G75" s="114">
        <v>-375.702969</v>
      </c>
      <c r="H75" s="114">
        <v>-113.053241</v>
      </c>
      <c r="I75" s="114">
        <v>1895.055038</v>
      </c>
      <c r="J75" s="191">
        <v>1502.9591600000001</v>
      </c>
    </row>
    <row r="76" spans="2:11" x14ac:dyDescent="0.25">
      <c r="B76" s="66" t="s">
        <v>94</v>
      </c>
      <c r="C76" s="22">
        <v>-38586</v>
      </c>
      <c r="D76" s="62">
        <f>-17840-9255</f>
        <v>-27095</v>
      </c>
      <c r="E76" s="62">
        <f>-3236-368</f>
        <v>-3604</v>
      </c>
      <c r="F76" s="62"/>
      <c r="G76" s="62">
        <v>4366.9813539999996</v>
      </c>
      <c r="H76" s="62">
        <v>6122.7697879999996</v>
      </c>
      <c r="I76" s="62">
        <v>-2148.9293039999998</v>
      </c>
      <c r="J76" s="192">
        <v>-1185.327149</v>
      </c>
    </row>
    <row r="77" spans="2:11" x14ac:dyDescent="0.25">
      <c r="B77" s="66" t="s">
        <v>95</v>
      </c>
      <c r="C77" s="30">
        <v>0</v>
      </c>
      <c r="D77" s="62">
        <v>-47297</v>
      </c>
      <c r="E77" s="62">
        <v>-4855</v>
      </c>
      <c r="F77" s="62"/>
      <c r="G77" s="62">
        <v>-3900.0090420000001</v>
      </c>
      <c r="H77" s="62">
        <v>-6030.4119870000004</v>
      </c>
      <c r="I77" s="62">
        <v>579.801917</v>
      </c>
      <c r="J77" s="192">
        <v>-1.5726100000000001</v>
      </c>
    </row>
    <row r="78" spans="2:11" x14ac:dyDescent="0.25">
      <c r="B78" s="66" t="s">
        <v>96</v>
      </c>
      <c r="C78" s="22"/>
      <c r="D78" s="62">
        <v>-6961</v>
      </c>
      <c r="E78" s="62">
        <v>-6676</v>
      </c>
      <c r="F78" s="62"/>
      <c r="G78" s="62"/>
      <c r="H78" s="62"/>
      <c r="I78" s="62"/>
      <c r="J78" s="192"/>
    </row>
    <row r="79" spans="2:11" x14ac:dyDescent="0.25">
      <c r="B79" s="66" t="s">
        <v>97</v>
      </c>
      <c r="C79" s="22"/>
      <c r="D79" s="62">
        <v>43242</v>
      </c>
      <c r="E79" s="62">
        <v>3135</v>
      </c>
      <c r="F79" s="62"/>
      <c r="G79" s="62"/>
      <c r="H79" s="62"/>
      <c r="I79" s="62"/>
      <c r="J79" s="192"/>
    </row>
    <row r="80" spans="2:11" x14ac:dyDescent="0.25">
      <c r="B80" s="66" t="s">
        <v>98</v>
      </c>
      <c r="C80" s="22"/>
      <c r="D80" s="62"/>
      <c r="E80" s="62"/>
      <c r="F80" s="62"/>
      <c r="G80" s="62"/>
      <c r="H80" s="62"/>
      <c r="I80" s="62"/>
      <c r="J80" s="192"/>
    </row>
    <row r="81" spans="2:10" x14ac:dyDescent="0.25">
      <c r="B81" s="66" t="s">
        <v>99</v>
      </c>
      <c r="C81" s="22"/>
      <c r="D81" s="62"/>
      <c r="E81" s="62"/>
      <c r="F81" s="62"/>
      <c r="G81" s="62"/>
      <c r="H81" s="62"/>
      <c r="I81" s="62"/>
      <c r="J81" s="192"/>
    </row>
    <row r="82" spans="2:10" x14ac:dyDescent="0.25">
      <c r="B82" s="65" t="s">
        <v>100</v>
      </c>
      <c r="C82" s="22"/>
      <c r="D82" s="115">
        <f t="shared" ref="D82:G82" si="26">D75+SUM(D76:D81)</f>
        <v>-20274</v>
      </c>
      <c r="E82" s="115">
        <f t="shared" si="26"/>
        <v>-10122</v>
      </c>
      <c r="F82" s="115">
        <f t="shared" si="26"/>
        <v>0</v>
      </c>
      <c r="G82" s="115">
        <f t="shared" si="26"/>
        <v>91.269342999999424</v>
      </c>
      <c r="H82" s="115">
        <v>-20.695440000000801</v>
      </c>
      <c r="I82" s="115">
        <v>325.9276510000002</v>
      </c>
      <c r="J82" s="193">
        <v>316.05940100000021</v>
      </c>
    </row>
    <row r="83" spans="2:10" x14ac:dyDescent="0.25">
      <c r="B83" s="66"/>
      <c r="C83" s="22"/>
      <c r="D83" s="30"/>
      <c r="E83" s="30"/>
      <c r="F83" s="30"/>
      <c r="G83" s="30"/>
      <c r="H83" s="30"/>
      <c r="I83" s="30"/>
      <c r="J83" s="31"/>
    </row>
    <row r="84" spans="2:10" x14ac:dyDescent="0.25">
      <c r="B84" s="129" t="s">
        <v>101</v>
      </c>
      <c r="C84" s="36"/>
      <c r="D84" s="133" t="s">
        <v>149</v>
      </c>
      <c r="E84" s="61">
        <v>-1970</v>
      </c>
      <c r="F84" s="61"/>
      <c r="G84" s="61">
        <f t="shared" ref="G84" si="27">+F85</f>
        <v>0</v>
      </c>
      <c r="H84" s="61">
        <v>91.269342999999424</v>
      </c>
      <c r="I84" s="61">
        <v>70.573902999998623</v>
      </c>
      <c r="J84" s="187">
        <v>396.50155399999881</v>
      </c>
    </row>
    <row r="85" spans="2:10" x14ac:dyDescent="0.25">
      <c r="B85" s="130" t="s">
        <v>104</v>
      </c>
      <c r="C85" s="131"/>
      <c r="D85" s="134" t="e">
        <f>D84+D82</f>
        <v>#VALUE!</v>
      </c>
      <c r="E85" s="151">
        <f t="shared" ref="E85:F85" si="28">E84+E82</f>
        <v>-12092</v>
      </c>
      <c r="F85" s="151">
        <f t="shared" si="28"/>
        <v>0</v>
      </c>
      <c r="G85" s="151">
        <f>G84+G82</f>
        <v>91.269342999999424</v>
      </c>
      <c r="H85" s="151">
        <v>70.573902999998623</v>
      </c>
      <c r="I85" s="151">
        <v>396.50155399999881</v>
      </c>
      <c r="J85" s="194">
        <v>712.56095499999901</v>
      </c>
    </row>
    <row r="86" spans="2:10" x14ac:dyDescent="0.25">
      <c r="B86" s="111" t="s">
        <v>103</v>
      </c>
      <c r="C86" s="112"/>
      <c r="D86" s="113" t="e">
        <f>(D52-D70)-D85</f>
        <v>#REF!</v>
      </c>
      <c r="E86" s="113" t="e">
        <f>(E52-E70)-E85</f>
        <v>#REF!</v>
      </c>
      <c r="F86" s="113" t="e">
        <f>(F52-F70)-F85</f>
        <v>#REF!</v>
      </c>
      <c r="G86" s="113" t="e">
        <f>(G52-G70)-G85</f>
        <v>#REF!</v>
      </c>
      <c r="H86" s="113">
        <v>0.42952900000138072</v>
      </c>
      <c r="I86" s="113">
        <v>0.42952900000119598</v>
      </c>
      <c r="J86" s="195">
        <v>0.42952900000102545</v>
      </c>
    </row>
    <row r="87" spans="2:10" s="20" customFormat="1" x14ac:dyDescent="0.25">
      <c r="B87" s="37" t="s">
        <v>90</v>
      </c>
      <c r="C87" s="38" t="e">
        <f>(Ratio!C36)</f>
        <v>#REF!</v>
      </c>
      <c r="D87" s="56" t="e">
        <f>D63+D52-D70</f>
        <v>#REF!</v>
      </c>
      <c r="E87" s="56" t="e">
        <f>E63+E70-E52</f>
        <v>#REF!</v>
      </c>
      <c r="F87" s="56" t="e">
        <f>F63+F70-F52</f>
        <v>#REF!</v>
      </c>
      <c r="G87" s="56" t="e">
        <f>G63+G70-G52</f>
        <v>#REF!</v>
      </c>
      <c r="H87" s="56">
        <v>-70.789603999999997</v>
      </c>
      <c r="I87" s="56">
        <v>-395.02457700000002</v>
      </c>
      <c r="J87" s="189">
        <v>-709.48957600000006</v>
      </c>
    </row>
    <row r="88" spans="2:10" x14ac:dyDescent="0.25">
      <c r="D88" s="33"/>
      <c r="H88" s="33"/>
      <c r="I88" s="17"/>
      <c r="J88" s="17"/>
    </row>
    <row r="89" spans="2:10" s="20" customFormat="1" x14ac:dyDescent="0.25">
      <c r="B89" s="18" t="s">
        <v>109</v>
      </c>
      <c r="C89" s="19">
        <v>41639</v>
      </c>
      <c r="D89" s="19">
        <v>42004</v>
      </c>
      <c r="E89" s="152">
        <v>2015</v>
      </c>
      <c r="F89" s="152">
        <v>2016</v>
      </c>
      <c r="G89" s="152">
        <v>2017</v>
      </c>
      <c r="H89" s="152">
        <v>2018</v>
      </c>
      <c r="I89" s="152">
        <v>2019</v>
      </c>
      <c r="J89" s="176">
        <v>2020</v>
      </c>
    </row>
    <row r="90" spans="2:10" x14ac:dyDescent="0.25">
      <c r="B90" s="23" t="s">
        <v>55</v>
      </c>
      <c r="C90" s="39"/>
      <c r="D90" s="117" t="s">
        <v>102</v>
      </c>
      <c r="E90" s="116" t="e">
        <f>((E5-D5)/D5)*100</f>
        <v>#REF!</v>
      </c>
      <c r="F90" s="116"/>
      <c r="G90" s="116"/>
      <c r="H90" s="121" t="s">
        <v>175</v>
      </c>
      <c r="I90" s="116">
        <v>120.83055169360028</v>
      </c>
      <c r="J90" s="201">
        <v>-2.7414654005182411</v>
      </c>
    </row>
    <row r="91" spans="2:10" x14ac:dyDescent="0.25">
      <c r="B91" s="23" t="s">
        <v>19</v>
      </c>
      <c r="C91" s="39"/>
      <c r="D91" s="117" t="s">
        <v>102</v>
      </c>
      <c r="E91" s="117" t="s">
        <v>102</v>
      </c>
      <c r="F91" s="117"/>
      <c r="G91" s="117"/>
      <c r="H91" s="121" t="s">
        <v>175</v>
      </c>
      <c r="I91" s="117" t="s">
        <v>102</v>
      </c>
      <c r="J91" s="206" t="s">
        <v>102</v>
      </c>
    </row>
    <row r="92" spans="2:10" x14ac:dyDescent="0.25">
      <c r="B92" s="23" t="s">
        <v>20</v>
      </c>
      <c r="C92" s="39"/>
      <c r="D92" s="117" t="s">
        <v>102</v>
      </c>
      <c r="E92" s="118" t="e">
        <f>((E8-D8)/D8)*100</f>
        <v>#REF!</v>
      </c>
      <c r="F92" s="118"/>
      <c r="G92" s="118"/>
      <c r="H92" s="121" t="s">
        <v>175</v>
      </c>
      <c r="I92" s="118">
        <v>-99.988208684277836</v>
      </c>
      <c r="J92" s="199">
        <v>22837.333333333332</v>
      </c>
    </row>
    <row r="93" spans="2:10" x14ac:dyDescent="0.25">
      <c r="B93" s="23" t="s">
        <v>51</v>
      </c>
      <c r="C93" s="39"/>
      <c r="D93" s="117" t="s">
        <v>102</v>
      </c>
      <c r="E93" s="118" t="e">
        <f>((E9-D9)/D9)*100</f>
        <v>#REF!</v>
      </c>
      <c r="F93" s="118"/>
      <c r="G93" s="118"/>
      <c r="H93" s="121" t="s">
        <v>175</v>
      </c>
      <c r="I93" s="118">
        <v>120.5138878603984</v>
      </c>
      <c r="J93" s="199">
        <v>-2.7397139965043933</v>
      </c>
    </row>
    <row r="94" spans="2:10" x14ac:dyDescent="0.25">
      <c r="B94" s="21" t="s">
        <v>12</v>
      </c>
      <c r="C94" s="39"/>
      <c r="D94" s="117" t="s">
        <v>102</v>
      </c>
      <c r="E94" s="118" t="e">
        <f>((E11-D11)/D11)*100</f>
        <v>#REF!</v>
      </c>
      <c r="F94" s="118"/>
      <c r="G94" s="118"/>
      <c r="H94" s="121" t="s">
        <v>175</v>
      </c>
      <c r="I94" s="118">
        <v>67.772243568402516</v>
      </c>
      <c r="J94" s="199">
        <v>567.82310913868366</v>
      </c>
    </row>
    <row r="95" spans="2:10" x14ac:dyDescent="0.25">
      <c r="B95" s="21" t="s">
        <v>13</v>
      </c>
      <c r="C95" s="39"/>
      <c r="D95" s="117" t="s">
        <v>102</v>
      </c>
      <c r="E95" s="118" t="e">
        <f>((E12-D12)/D12)*100</f>
        <v>#REF!</v>
      </c>
      <c r="F95" s="118"/>
      <c r="G95" s="118"/>
      <c r="H95" s="121" t="s">
        <v>175</v>
      </c>
      <c r="I95" s="118">
        <v>-58.712043474318619</v>
      </c>
      <c r="J95" s="199">
        <v>-72.52896319752999</v>
      </c>
    </row>
    <row r="96" spans="2:10" x14ac:dyDescent="0.25">
      <c r="B96" s="21" t="s">
        <v>14</v>
      </c>
      <c r="C96" s="39"/>
      <c r="D96" s="117" t="s">
        <v>102</v>
      </c>
      <c r="E96" s="118" t="e">
        <f>((E13-D13)/D13)*100</f>
        <v>#REF!</v>
      </c>
      <c r="F96" s="118"/>
      <c r="G96" s="118"/>
      <c r="H96" s="121" t="s">
        <v>175</v>
      </c>
      <c r="I96" s="118">
        <v>52.868380817796648</v>
      </c>
      <c r="J96" s="199">
        <v>35.844868669846441</v>
      </c>
    </row>
    <row r="97" spans="2:10" x14ac:dyDescent="0.25">
      <c r="B97" s="21" t="s">
        <v>16</v>
      </c>
      <c r="C97" s="39"/>
      <c r="D97" s="117" t="s">
        <v>102</v>
      </c>
      <c r="E97" s="118" t="e">
        <f>((E14-D14)/D14)*100</f>
        <v>#REF!</v>
      </c>
      <c r="F97" s="118"/>
      <c r="G97" s="118"/>
      <c r="H97" s="121" t="s">
        <v>175</v>
      </c>
      <c r="I97" s="118">
        <v>55.350426587481479</v>
      </c>
      <c r="J97" s="199">
        <v>-51.617576501075945</v>
      </c>
    </row>
    <row r="98" spans="2:10" x14ac:dyDescent="0.25">
      <c r="B98" s="23" t="s">
        <v>50</v>
      </c>
      <c r="C98" s="39"/>
      <c r="D98" s="117" t="s">
        <v>102</v>
      </c>
      <c r="E98" s="118" t="e">
        <f>((E15-D15)/D15)*100</f>
        <v>#REF!</v>
      </c>
      <c r="F98" s="118"/>
      <c r="G98" s="118"/>
      <c r="H98" s="121" t="s">
        <v>175</v>
      </c>
      <c r="I98" s="118">
        <v>143.04423686845902</v>
      </c>
      <c r="J98" s="199">
        <v>-13.480233308067472</v>
      </c>
    </row>
    <row r="99" spans="2:10" x14ac:dyDescent="0.25">
      <c r="B99" s="21" t="s">
        <v>15</v>
      </c>
      <c r="C99" s="39"/>
      <c r="D99" s="117" t="s">
        <v>102</v>
      </c>
      <c r="E99" s="118" t="e">
        <f>((E18-D18)/D18)*100</f>
        <v>#REF!</v>
      </c>
      <c r="F99" s="118"/>
      <c r="G99" s="118"/>
      <c r="H99" s="121" t="s">
        <v>175</v>
      </c>
      <c r="I99" s="118">
        <v>745.95016357373277</v>
      </c>
      <c r="J99" s="199">
        <v>1135.2946163567742</v>
      </c>
    </row>
    <row r="100" spans="2:10" x14ac:dyDescent="0.25">
      <c r="B100" s="21" t="s">
        <v>18</v>
      </c>
      <c r="C100" s="39"/>
      <c r="D100" s="117" t="s">
        <v>102</v>
      </c>
      <c r="E100" s="119" t="e">
        <f>((E19-D19)/D19)*100</f>
        <v>#REF!</v>
      </c>
      <c r="F100" s="119"/>
      <c r="G100" s="119"/>
      <c r="H100" s="121" t="s">
        <v>175</v>
      </c>
      <c r="I100" s="119">
        <v>80.714504467435333</v>
      </c>
      <c r="J100" s="202">
        <v>1.981050910752983</v>
      </c>
    </row>
    <row r="101" spans="2:10" x14ac:dyDescent="0.25">
      <c r="B101" s="24" t="s">
        <v>52</v>
      </c>
      <c r="C101" s="40"/>
      <c r="D101" s="132" t="s">
        <v>102</v>
      </c>
      <c r="E101" s="40" t="e">
        <f>((E20-D20)/D20)*100</f>
        <v>#REF!</v>
      </c>
      <c r="F101" s="40"/>
      <c r="G101" s="40"/>
      <c r="H101" s="219" t="s">
        <v>175</v>
      </c>
      <c r="I101" s="40">
        <v>144.76071962904183</v>
      </c>
      <c r="J101" s="210">
        <v>-21.631869809274317</v>
      </c>
    </row>
    <row r="102" spans="2:10" x14ac:dyDescent="0.25">
      <c r="B102" s="23" t="s">
        <v>17</v>
      </c>
      <c r="C102" s="39"/>
      <c r="D102" s="117" t="s">
        <v>102</v>
      </c>
      <c r="E102" s="116" t="e">
        <f>((E23-D23)/D23)*100</f>
        <v>#REF!</v>
      </c>
      <c r="F102" s="116"/>
      <c r="G102" s="116"/>
      <c r="H102" s="121" t="s">
        <v>175</v>
      </c>
      <c r="I102" s="116">
        <v>136.25261500396334</v>
      </c>
      <c r="J102" s="201">
        <v>1.0828280623169944</v>
      </c>
    </row>
    <row r="103" spans="2:10" x14ac:dyDescent="0.25">
      <c r="B103" s="23" t="s">
        <v>21</v>
      </c>
      <c r="C103" s="39"/>
      <c r="D103" s="117" t="s">
        <v>102</v>
      </c>
      <c r="E103" s="119" t="e">
        <f>((E24-D24)/D24)*100</f>
        <v>#REF!</v>
      </c>
      <c r="F103" s="119"/>
      <c r="G103" s="119"/>
      <c r="H103" s="121" t="s">
        <v>175</v>
      </c>
      <c r="I103" s="119">
        <v>-97.237319367214496</v>
      </c>
      <c r="J103" s="202">
        <v>791.60727313541736</v>
      </c>
    </row>
    <row r="104" spans="2:10" x14ac:dyDescent="0.25">
      <c r="B104" s="24" t="s">
        <v>22</v>
      </c>
      <c r="C104" s="40"/>
      <c r="D104" s="132" t="s">
        <v>102</v>
      </c>
      <c r="E104" s="40" t="e">
        <f>((E25-D25)/D25)*100</f>
        <v>#REF!</v>
      </c>
      <c r="F104" s="40"/>
      <c r="G104" s="40"/>
      <c r="H104" s="219" t="s">
        <v>175</v>
      </c>
      <c r="I104" s="40">
        <v>147.36914816114532</v>
      </c>
      <c r="J104" s="210">
        <v>-35.820808413151866</v>
      </c>
    </row>
    <row r="105" spans="2:10" x14ac:dyDescent="0.25">
      <c r="B105" s="21" t="s">
        <v>53</v>
      </c>
      <c r="C105" s="39"/>
      <c r="D105" s="117" t="s">
        <v>102</v>
      </c>
      <c r="E105" s="116" t="e">
        <f>((E28-D28)/-D28)*100</f>
        <v>#REF!</v>
      </c>
      <c r="F105" s="116"/>
      <c r="G105" s="116"/>
      <c r="H105" s="121" t="s">
        <v>175</v>
      </c>
      <c r="I105" s="116">
        <v>63.879081884775516</v>
      </c>
      <c r="J105" s="201">
        <v>21.749584683871056</v>
      </c>
    </row>
    <row r="106" spans="2:10" x14ac:dyDescent="0.25">
      <c r="B106" s="21" t="s">
        <v>56</v>
      </c>
      <c r="C106" s="39"/>
      <c r="D106" s="117" t="s">
        <v>102</v>
      </c>
      <c r="E106" s="118" t="e">
        <f>((-E29+D29)/D29)*100</f>
        <v>#REF!</v>
      </c>
      <c r="F106" s="118"/>
      <c r="G106" s="118"/>
      <c r="H106" s="117" t="s">
        <v>175</v>
      </c>
      <c r="I106" s="117" t="s">
        <v>102</v>
      </c>
      <c r="J106" s="206" t="s">
        <v>102</v>
      </c>
    </row>
    <row r="107" spans="2:10" x14ac:dyDescent="0.25">
      <c r="B107" s="21" t="s">
        <v>85</v>
      </c>
      <c r="C107" s="39"/>
      <c r="D107" s="117" t="s">
        <v>102</v>
      </c>
      <c r="E107" s="117" t="s">
        <v>102</v>
      </c>
      <c r="F107" s="117"/>
      <c r="G107" s="117"/>
      <c r="H107" s="117" t="s">
        <v>175</v>
      </c>
      <c r="I107" s="117" t="s">
        <v>102</v>
      </c>
      <c r="J107" s="206" t="s">
        <v>102</v>
      </c>
    </row>
    <row r="108" spans="2:10" x14ac:dyDescent="0.25">
      <c r="B108" s="21" t="s">
        <v>54</v>
      </c>
      <c r="C108" s="39"/>
      <c r="D108" s="117" t="s">
        <v>102</v>
      </c>
      <c r="E108" s="120" t="e">
        <f>((E31-D31)/D31)*100</f>
        <v>#REF!</v>
      </c>
      <c r="F108" s="120"/>
      <c r="G108" s="120"/>
      <c r="H108" s="121" t="s">
        <v>175</v>
      </c>
      <c r="I108" s="120">
        <v>109.58177801949513</v>
      </c>
      <c r="J108" s="207">
        <v>-28.616574146644179</v>
      </c>
    </row>
    <row r="109" spans="2:10" x14ac:dyDescent="0.25">
      <c r="B109" s="27" t="s">
        <v>87</v>
      </c>
      <c r="C109" s="41"/>
      <c r="D109" s="132" t="s">
        <v>102</v>
      </c>
      <c r="E109" s="53" t="e">
        <f>((E32-D32)/D32)*100</f>
        <v>#REF!</v>
      </c>
      <c r="F109" s="53"/>
      <c r="G109" s="53"/>
      <c r="H109" s="221" t="s">
        <v>175</v>
      </c>
      <c r="I109" s="53">
        <v>-275.95311963108998</v>
      </c>
      <c r="J109" s="211">
        <v>-43.436883830175965</v>
      </c>
    </row>
    <row r="110" spans="2:10" x14ac:dyDescent="0.25">
      <c r="B110" s="42" t="s">
        <v>86</v>
      </c>
      <c r="C110" s="39"/>
      <c r="D110" s="117" t="s">
        <v>102</v>
      </c>
      <c r="E110" s="117" t="s">
        <v>102</v>
      </c>
      <c r="F110" s="117"/>
      <c r="G110" s="117"/>
      <c r="H110" s="117" t="s">
        <v>175</v>
      </c>
      <c r="I110" s="117" t="s">
        <v>102</v>
      </c>
      <c r="J110" s="206" t="s">
        <v>102</v>
      </c>
    </row>
    <row r="111" spans="2:10" x14ac:dyDescent="0.25">
      <c r="B111" s="43" t="s">
        <v>110</v>
      </c>
      <c r="C111" s="44"/>
      <c r="D111" s="132" t="s">
        <v>102</v>
      </c>
      <c r="E111" s="44" t="e">
        <f>((E31-D31)/D31)*100</f>
        <v>#REF!</v>
      </c>
      <c r="F111" s="44"/>
      <c r="G111" s="44"/>
      <c r="H111" s="220" t="s">
        <v>175</v>
      </c>
      <c r="I111" s="44">
        <v>109.58177801949513</v>
      </c>
      <c r="J111" s="212">
        <v>-28.616574146644179</v>
      </c>
    </row>
    <row r="112" spans="2:10" x14ac:dyDescent="0.25">
      <c r="D112" s="33"/>
      <c r="H112" s="33"/>
      <c r="I112" s="17"/>
      <c r="J112" s="17"/>
    </row>
    <row r="113" spans="2:10" s="20" customFormat="1" x14ac:dyDescent="0.25">
      <c r="B113" s="18" t="s">
        <v>60</v>
      </c>
      <c r="C113" s="19">
        <v>41639</v>
      </c>
      <c r="D113" s="19">
        <v>42004</v>
      </c>
      <c r="E113" s="152">
        <v>2015</v>
      </c>
      <c r="F113" s="152">
        <v>2016</v>
      </c>
      <c r="G113" s="152">
        <v>2017</v>
      </c>
      <c r="H113" s="152">
        <v>2018</v>
      </c>
      <c r="I113" s="152">
        <v>2019</v>
      </c>
      <c r="J113" s="176">
        <v>2020</v>
      </c>
    </row>
    <row r="114" spans="2:10" hidden="1" x14ac:dyDescent="0.25">
      <c r="B114" s="21" t="s">
        <v>84</v>
      </c>
      <c r="C114" s="22"/>
      <c r="D114" s="121" t="s">
        <v>102</v>
      </c>
      <c r="E114" s="117" t="s">
        <v>102</v>
      </c>
      <c r="F114" s="117"/>
      <c r="G114" s="117"/>
      <c r="H114" s="117" t="s">
        <v>102</v>
      </c>
      <c r="I114" s="117" t="s">
        <v>102</v>
      </c>
      <c r="J114" s="206" t="s">
        <v>102</v>
      </c>
    </row>
    <row r="115" spans="2:10" x14ac:dyDescent="0.25">
      <c r="B115" s="23" t="s">
        <v>1</v>
      </c>
      <c r="C115" s="39"/>
      <c r="D115" s="121" t="s">
        <v>102</v>
      </c>
      <c r="E115" s="118" t="e">
        <f>((E46-D46)/D46)*100</f>
        <v>#REF!</v>
      </c>
      <c r="F115" s="118"/>
      <c r="G115" s="118"/>
      <c r="H115" s="117" t="s">
        <v>102</v>
      </c>
      <c r="I115" s="117" t="s">
        <v>102</v>
      </c>
      <c r="J115" s="199">
        <v>-5.6610778630227641</v>
      </c>
    </row>
    <row r="116" spans="2:10" x14ac:dyDescent="0.25">
      <c r="B116" s="23" t="s">
        <v>2</v>
      </c>
      <c r="C116" s="39"/>
      <c r="D116" s="121" t="s">
        <v>102</v>
      </c>
      <c r="E116" s="118" t="e">
        <f>((E47-D47)/D47)*100</f>
        <v>#REF!</v>
      </c>
      <c r="F116" s="118"/>
      <c r="G116" s="118"/>
      <c r="H116" s="118">
        <v>136.26494863074498</v>
      </c>
      <c r="I116" s="118">
        <v>-19.616366994776353</v>
      </c>
      <c r="J116" s="199">
        <v>-12.238584027923956</v>
      </c>
    </row>
    <row r="117" spans="2:10" x14ac:dyDescent="0.25">
      <c r="B117" s="21" t="s">
        <v>3</v>
      </c>
      <c r="C117" s="39"/>
      <c r="D117" s="121" t="s">
        <v>102</v>
      </c>
      <c r="E117" s="118" t="e">
        <f>((E48-D48)/D48)*100</f>
        <v>#REF!</v>
      </c>
      <c r="F117" s="118"/>
      <c r="G117" s="118"/>
      <c r="H117" s="118">
        <v>1593.879502709595</v>
      </c>
      <c r="I117" s="118">
        <v>0</v>
      </c>
      <c r="J117" s="199">
        <v>144.6395973749795</v>
      </c>
    </row>
    <row r="118" spans="2:10" x14ac:dyDescent="0.25">
      <c r="B118" s="21" t="s">
        <v>4</v>
      </c>
      <c r="C118" s="39"/>
      <c r="D118" s="121" t="s">
        <v>102</v>
      </c>
      <c r="E118" s="118" t="e">
        <f>((E50-D50)/D50)*100</f>
        <v>#REF!</v>
      </c>
      <c r="F118" s="118"/>
      <c r="G118" s="118"/>
      <c r="H118" s="117" t="s">
        <v>102</v>
      </c>
      <c r="I118" s="117" t="s">
        <v>102</v>
      </c>
      <c r="J118" s="206" t="s">
        <v>102</v>
      </c>
    </row>
    <row r="119" spans="2:10" x14ac:dyDescent="0.25">
      <c r="B119" s="21" t="s">
        <v>5</v>
      </c>
      <c r="C119" s="39"/>
      <c r="D119" s="121" t="s">
        <v>102</v>
      </c>
      <c r="E119" s="118" t="e">
        <f>((E51-D51)/D51)*100</f>
        <v>#REF!</v>
      </c>
      <c r="F119" s="118"/>
      <c r="G119" s="118"/>
      <c r="H119" s="118">
        <v>-18.075519742898717</v>
      </c>
      <c r="I119" s="118">
        <v>59.313243384930381</v>
      </c>
      <c r="J119" s="199">
        <v>57.160388832008437</v>
      </c>
    </row>
    <row r="120" spans="2:10" x14ac:dyDescent="0.25">
      <c r="B120" s="21" t="s">
        <v>57</v>
      </c>
      <c r="C120" s="39"/>
      <c r="D120" s="121" t="s">
        <v>102</v>
      </c>
      <c r="E120" s="120" t="e">
        <f>((E52-D52)/D52)*100</f>
        <v>#REF!</v>
      </c>
      <c r="F120" s="120"/>
      <c r="G120" s="120"/>
      <c r="H120" s="120">
        <v>-26.596344114549421</v>
      </c>
      <c r="I120" s="120">
        <v>458.93123003146076</v>
      </c>
      <c r="J120" s="207">
        <v>79.625762389588431</v>
      </c>
    </row>
    <row r="121" spans="2:10" x14ac:dyDescent="0.25">
      <c r="B121" s="45" t="s">
        <v>23</v>
      </c>
      <c r="C121" s="46"/>
      <c r="D121" s="132" t="s">
        <v>102</v>
      </c>
      <c r="E121" s="46" t="e">
        <f>((E53-D53)/D53)*100</f>
        <v>#REF!</v>
      </c>
      <c r="F121" s="46"/>
      <c r="G121" s="46"/>
      <c r="H121" s="46">
        <v>91.569610412448682</v>
      </c>
      <c r="I121" s="46">
        <v>-4.1232055053123302</v>
      </c>
      <c r="J121" s="208">
        <v>4.8360614317741604</v>
      </c>
    </row>
    <row r="122" spans="2:10" x14ac:dyDescent="0.25">
      <c r="B122" s="23" t="s">
        <v>6</v>
      </c>
      <c r="C122" s="39"/>
      <c r="D122" s="121" t="s">
        <v>102</v>
      </c>
      <c r="E122" s="122" t="e">
        <f>((E55-D55)/D55)*100</f>
        <v>#REF!</v>
      </c>
      <c r="F122" s="122"/>
      <c r="G122" s="122"/>
      <c r="H122" s="122">
        <v>0</v>
      </c>
      <c r="I122" s="122">
        <v>0</v>
      </c>
      <c r="J122" s="209">
        <v>0</v>
      </c>
    </row>
    <row r="123" spans="2:10" x14ac:dyDescent="0.25">
      <c r="B123" s="23" t="s">
        <v>89</v>
      </c>
      <c r="C123" s="39"/>
      <c r="D123" s="121" t="s">
        <v>102</v>
      </c>
      <c r="E123" s="118" t="e">
        <f>((E56-D56)/D56)*100</f>
        <v>#REF!</v>
      </c>
      <c r="F123" s="118"/>
      <c r="G123" s="118"/>
      <c r="H123" s="117" t="s">
        <v>102</v>
      </c>
      <c r="I123" s="117" t="s">
        <v>102</v>
      </c>
      <c r="J123" s="206" t="s">
        <v>102</v>
      </c>
    </row>
    <row r="124" spans="2:10" x14ac:dyDescent="0.25">
      <c r="B124" s="23" t="s">
        <v>7</v>
      </c>
      <c r="C124" s="39"/>
      <c r="D124" s="121" t="s">
        <v>102</v>
      </c>
      <c r="E124" s="117" t="s">
        <v>102</v>
      </c>
      <c r="F124" s="117"/>
      <c r="G124" s="117"/>
      <c r="H124" s="117" t="s">
        <v>102</v>
      </c>
      <c r="I124" s="117" t="s">
        <v>102</v>
      </c>
      <c r="J124" s="206" t="s">
        <v>102</v>
      </c>
    </row>
    <row r="125" spans="2:10" x14ac:dyDescent="0.25">
      <c r="B125" s="23" t="s">
        <v>111</v>
      </c>
      <c r="C125" s="39"/>
      <c r="D125" s="121" t="s">
        <v>102</v>
      </c>
      <c r="E125" s="118" t="e">
        <f>((E58-D58)/D58)*100</f>
        <v>#REF!</v>
      </c>
      <c r="F125" s="118"/>
      <c r="G125" s="118"/>
      <c r="H125" s="118">
        <v>39.181697018167988</v>
      </c>
      <c r="I125" s="118">
        <v>-275.95311963108998</v>
      </c>
      <c r="J125" s="199">
        <v>-43.436883830176001</v>
      </c>
    </row>
    <row r="126" spans="2:10" hidden="1" x14ac:dyDescent="0.25">
      <c r="B126" s="54" t="s">
        <v>88</v>
      </c>
      <c r="C126" s="39"/>
      <c r="D126" s="121" t="s">
        <v>102</v>
      </c>
      <c r="E126" s="118" t="e">
        <f>((E59-D59)/D59)*100</f>
        <v>#REF!</v>
      </c>
      <c r="F126" s="118"/>
      <c r="G126" s="118"/>
      <c r="H126" s="118">
        <v>-2395.9492024538754</v>
      </c>
      <c r="I126" s="118">
        <v>-1.8315466045743121</v>
      </c>
      <c r="J126" s="199">
        <v>-0.89940490765414105</v>
      </c>
    </row>
    <row r="127" spans="2:10" hidden="1" x14ac:dyDescent="0.25">
      <c r="B127" s="23" t="s">
        <v>83</v>
      </c>
      <c r="C127" s="39"/>
      <c r="D127" s="121" t="s">
        <v>102</v>
      </c>
      <c r="E127" s="117" t="s">
        <v>102</v>
      </c>
      <c r="F127" s="117"/>
      <c r="G127" s="117"/>
      <c r="H127" s="117" t="s">
        <v>102</v>
      </c>
      <c r="I127" s="117" t="s">
        <v>102</v>
      </c>
      <c r="J127" s="206" t="s">
        <v>102</v>
      </c>
    </row>
    <row r="128" spans="2:10" x14ac:dyDescent="0.25">
      <c r="B128" s="54" t="s">
        <v>107</v>
      </c>
      <c r="C128" s="39"/>
      <c r="D128" s="121" t="s">
        <v>102</v>
      </c>
      <c r="E128" s="118" t="e">
        <f>((E62-D62)/D62)*100</f>
        <v>#REF!</v>
      </c>
      <c r="F128" s="118"/>
      <c r="G128" s="118"/>
      <c r="H128" s="118">
        <v>-2180.3551797685486</v>
      </c>
      <c r="I128" s="118">
        <v>7.7554021029984499</v>
      </c>
      <c r="J128" s="199">
        <v>4.2277285575809698</v>
      </c>
    </row>
    <row r="129" spans="2:11" x14ac:dyDescent="0.25">
      <c r="B129" s="21" t="s">
        <v>58</v>
      </c>
      <c r="C129" s="39"/>
      <c r="D129" s="121" t="s">
        <v>102</v>
      </c>
      <c r="E129" s="118" t="e">
        <f t="shared" ref="E129" si="29">((E63-D63)/D63)*100</f>
        <v>#REF!</v>
      </c>
      <c r="F129" s="118"/>
      <c r="G129" s="118"/>
      <c r="H129" s="117" t="s">
        <v>102</v>
      </c>
      <c r="I129" s="117" t="s">
        <v>102</v>
      </c>
      <c r="J129" s="206" t="s">
        <v>102</v>
      </c>
    </row>
    <row r="130" spans="2:11" hidden="1" x14ac:dyDescent="0.25">
      <c r="B130" s="21" t="s">
        <v>26</v>
      </c>
      <c r="C130" s="39"/>
      <c r="D130" s="121" t="s">
        <v>102</v>
      </c>
      <c r="E130" s="118" t="e">
        <f t="shared" ref="E130" si="30">((E64-D64)/D64)*100</f>
        <v>#REF!</v>
      </c>
      <c r="F130" s="118"/>
      <c r="G130" s="118"/>
      <c r="H130" s="117" t="s">
        <v>102</v>
      </c>
      <c r="I130" s="117" t="s">
        <v>102</v>
      </c>
      <c r="J130" s="206" t="s">
        <v>102</v>
      </c>
    </row>
    <row r="131" spans="2:11" x14ac:dyDescent="0.25">
      <c r="B131" s="21" t="s">
        <v>8</v>
      </c>
      <c r="C131" s="39"/>
      <c r="D131" s="121" t="s">
        <v>102</v>
      </c>
      <c r="E131" s="118" t="e">
        <f t="shared" ref="E131" si="31">((E65-D65)/D65)*100</f>
        <v>#REF!</v>
      </c>
      <c r="F131" s="118"/>
      <c r="G131" s="118"/>
      <c r="H131" s="117" t="s">
        <v>102</v>
      </c>
      <c r="I131" s="117" t="s">
        <v>102</v>
      </c>
      <c r="J131" s="206" t="s">
        <v>102</v>
      </c>
    </row>
    <row r="132" spans="2:11" x14ac:dyDescent="0.25">
      <c r="B132" s="21" t="s">
        <v>9</v>
      </c>
      <c r="C132" s="39"/>
      <c r="D132" s="121" t="s">
        <v>102</v>
      </c>
      <c r="E132" s="118" t="e">
        <f>((E66-D66)/D66)*100</f>
        <v>#REF!</v>
      </c>
      <c r="F132" s="118"/>
      <c r="G132" s="118"/>
      <c r="H132" s="118">
        <v>99.828632616072809</v>
      </c>
      <c r="I132" s="118">
        <v>-93.420646208318928</v>
      </c>
      <c r="J132" s="199">
        <v>-12.809237205716457</v>
      </c>
    </row>
    <row r="133" spans="2:11" x14ac:dyDescent="0.25">
      <c r="B133" s="21" t="s">
        <v>174</v>
      </c>
      <c r="C133" s="39"/>
      <c r="D133" s="121" t="s">
        <v>102</v>
      </c>
      <c r="E133" s="118" t="e">
        <f>((E67-D67)/D67)*100</f>
        <v>#REF!</v>
      </c>
      <c r="F133" s="118"/>
      <c r="G133" s="118"/>
      <c r="H133" s="118">
        <v>238.61318518970069</v>
      </c>
      <c r="I133" s="118">
        <v>-30.918163416974387</v>
      </c>
      <c r="J133" s="199">
        <v>16.992053169454287</v>
      </c>
    </row>
    <row r="134" spans="2:11" hidden="1" x14ac:dyDescent="0.25">
      <c r="B134" s="21" t="s">
        <v>10</v>
      </c>
      <c r="C134" s="39"/>
      <c r="D134" s="121" t="s">
        <v>102</v>
      </c>
      <c r="E134" s="118" t="e">
        <f t="shared" ref="E134" si="32">((E68-D68)/D68)*100</f>
        <v>#REF!</v>
      </c>
      <c r="F134" s="118"/>
      <c r="G134" s="118"/>
      <c r="H134" s="117" t="s">
        <v>102</v>
      </c>
      <c r="I134" s="117" t="s">
        <v>102</v>
      </c>
      <c r="J134" s="206" t="s">
        <v>102</v>
      </c>
    </row>
    <row r="135" spans="2:11" x14ac:dyDescent="0.25">
      <c r="B135" s="21" t="s">
        <v>11</v>
      </c>
      <c r="C135" s="39"/>
      <c r="D135" s="121" t="s">
        <v>102</v>
      </c>
      <c r="E135" s="118" t="e">
        <f>((E69-D69)/D69)*100</f>
        <v>#REF!</v>
      </c>
      <c r="F135" s="118"/>
      <c r="G135" s="118"/>
      <c r="H135" s="118">
        <v>-100</v>
      </c>
      <c r="I135" s="117" t="s">
        <v>102</v>
      </c>
      <c r="J135" s="206" t="s">
        <v>102</v>
      </c>
    </row>
    <row r="136" spans="2:11" x14ac:dyDescent="0.25">
      <c r="B136" s="21" t="s">
        <v>59</v>
      </c>
      <c r="C136" s="39"/>
      <c r="D136" s="121" t="s">
        <v>102</v>
      </c>
      <c r="E136" s="120" t="e">
        <f>((E70-D70)/D70)*100</f>
        <v>#REF!</v>
      </c>
      <c r="F136" s="120"/>
      <c r="G136" s="120"/>
      <c r="H136" s="120">
        <v>-99.749349803009608</v>
      </c>
      <c r="I136" s="120">
        <v>-100</v>
      </c>
      <c r="J136" s="218" t="s">
        <v>102</v>
      </c>
    </row>
    <row r="137" spans="2:11" x14ac:dyDescent="0.25">
      <c r="B137" s="34" t="s">
        <v>24</v>
      </c>
      <c r="C137" s="46"/>
      <c r="D137" s="132" t="s">
        <v>102</v>
      </c>
      <c r="E137" s="46" t="e">
        <f>((E71-D71)/D71)*100</f>
        <v>#REF!</v>
      </c>
      <c r="F137" s="46"/>
      <c r="G137" s="46"/>
      <c r="H137" s="46">
        <v>3790.4391878216293</v>
      </c>
      <c r="I137" s="46">
        <v>-4.1232055053123302</v>
      </c>
      <c r="J137" s="208">
        <v>4.8360614317741604</v>
      </c>
    </row>
    <row r="138" spans="2:11" x14ac:dyDescent="0.25">
      <c r="D138" s="33"/>
      <c r="H138" s="33"/>
      <c r="I138" s="17"/>
      <c r="J138" s="17"/>
    </row>
    <row r="139" spans="2:11" s="20" customFormat="1" x14ac:dyDescent="0.25">
      <c r="B139" s="18" t="s">
        <v>81</v>
      </c>
      <c r="C139" s="19">
        <v>41639</v>
      </c>
      <c r="D139" s="19">
        <v>42004</v>
      </c>
      <c r="E139" s="152">
        <v>2015</v>
      </c>
      <c r="F139" s="152">
        <v>2016</v>
      </c>
      <c r="G139" s="152">
        <v>2017</v>
      </c>
      <c r="H139" s="152">
        <v>2018</v>
      </c>
      <c r="I139" s="152">
        <v>2019</v>
      </c>
      <c r="J139" s="176">
        <v>2020</v>
      </c>
    </row>
    <row r="140" spans="2:11" x14ac:dyDescent="0.25">
      <c r="B140" s="72"/>
      <c r="C140" s="73"/>
      <c r="D140" s="73"/>
      <c r="E140" s="73"/>
      <c r="F140" s="73"/>
      <c r="G140" s="73"/>
      <c r="H140" s="73"/>
      <c r="I140" s="73"/>
      <c r="J140" s="196"/>
    </row>
    <row r="141" spans="2:11" s="20" customFormat="1" x14ac:dyDescent="0.25">
      <c r="B141" s="47" t="s">
        <v>63</v>
      </c>
      <c r="C141" s="26"/>
      <c r="D141" s="26"/>
      <c r="E141" s="26"/>
      <c r="F141" s="26"/>
      <c r="G141" s="26"/>
      <c r="H141" s="26"/>
      <c r="I141" s="26"/>
      <c r="J141" s="180"/>
    </row>
    <row r="142" spans="2:11" x14ac:dyDescent="0.25">
      <c r="B142" s="23" t="s">
        <v>72</v>
      </c>
      <c r="C142" s="39" t="e">
        <f>(C32/C5)*100</f>
        <v>#REF!</v>
      </c>
      <c r="D142" s="123" t="e">
        <f>D36*100/D5</f>
        <v>#REF!</v>
      </c>
      <c r="E142" s="213" t="e">
        <f>E36*100/E5</f>
        <v>#REF!</v>
      </c>
      <c r="F142" s="123"/>
      <c r="G142" s="123"/>
      <c r="H142" s="123">
        <v>-39.480212541578375</v>
      </c>
      <c r="I142" s="123">
        <v>31.456999527980237</v>
      </c>
      <c r="J142" s="197">
        <v>18.294599296427471</v>
      </c>
      <c r="K142" s="20"/>
    </row>
    <row r="143" spans="2:11" x14ac:dyDescent="0.25">
      <c r="B143" s="23" t="s">
        <v>73</v>
      </c>
      <c r="C143" s="39" t="e">
        <f>(C5/C53)*100</f>
        <v>#REF!</v>
      </c>
      <c r="D143" s="124" t="e">
        <f>D5*100/D53</f>
        <v>#REF!</v>
      </c>
      <c r="E143" s="214" t="e">
        <f>E5*100/E53</f>
        <v>#REF!</v>
      </c>
      <c r="F143" s="214"/>
      <c r="G143" s="214"/>
      <c r="H143" s="214">
        <v>11.964754692404981</v>
      </c>
      <c r="I143" s="214">
        <v>27.55811136081299</v>
      </c>
      <c r="J143" s="216">
        <v>25.566217298484435</v>
      </c>
      <c r="K143" s="20"/>
    </row>
    <row r="144" spans="2:11" x14ac:dyDescent="0.25">
      <c r="B144" s="23" t="s">
        <v>74</v>
      </c>
      <c r="C144" s="39" t="e">
        <f>(C53/(C55+C59+C61))*100</f>
        <v>#REF!</v>
      </c>
      <c r="D144" s="125" t="e">
        <f>D53*100/D62</f>
        <v>#REF!</v>
      </c>
      <c r="E144" s="215" t="e">
        <f>E53*100/E62</f>
        <v>#REF!</v>
      </c>
      <c r="F144" s="215"/>
      <c r="G144" s="215"/>
      <c r="H144" s="215">
        <v>117.62905499594956</v>
      </c>
      <c r="I144" s="215">
        <v>104.66200777266781</v>
      </c>
      <c r="J144" s="217">
        <v>105.27287534973493</v>
      </c>
      <c r="K144" s="20"/>
    </row>
    <row r="145" spans="2:10" x14ac:dyDescent="0.25">
      <c r="B145" s="23" t="s">
        <v>75</v>
      </c>
      <c r="C145" s="39" t="e">
        <f>(C32/(C55+C59+C61))*100</f>
        <v>#REF!</v>
      </c>
      <c r="D145" s="125" t="e">
        <f>D36*100/D62</f>
        <v>#REF!</v>
      </c>
      <c r="E145" s="215" t="e">
        <f>E36*100/E62</f>
        <v>#REF!</v>
      </c>
      <c r="F145" s="125"/>
      <c r="G145" s="125"/>
      <c r="H145" s="125">
        <v>-5.5564561191030464</v>
      </c>
      <c r="I145" s="125">
        <v>9.0731023147677057</v>
      </c>
      <c r="J145" s="198">
        <v>4.9238618873612348</v>
      </c>
    </row>
    <row r="146" spans="2:10" x14ac:dyDescent="0.25">
      <c r="B146" s="23" t="s">
        <v>76</v>
      </c>
      <c r="C146" s="39" t="e">
        <f>(C32/C53)*100</f>
        <v>#REF!</v>
      </c>
      <c r="D146" s="125" t="e">
        <f>D36*100/D53</f>
        <v>#REF!</v>
      </c>
      <c r="E146" s="215" t="e">
        <f>E36*100/E53</f>
        <v>#REF!</v>
      </c>
      <c r="F146" s="125"/>
      <c r="G146" s="125"/>
      <c r="H146" s="125">
        <v>-4.7237105826399581</v>
      </c>
      <c r="I146" s="125">
        <v>8.6689549606912095</v>
      </c>
      <c r="J146" s="198">
        <v>4.6772370100116518</v>
      </c>
    </row>
    <row r="147" spans="2:10" x14ac:dyDescent="0.25">
      <c r="B147" s="23" t="s">
        <v>77</v>
      </c>
      <c r="C147" s="39" t="e">
        <f>(#REF!/#REF!)*100</f>
        <v>#REF!</v>
      </c>
      <c r="D147" s="118" t="e">
        <f>(#REF!/#REF!)*100</f>
        <v>#REF!</v>
      </c>
      <c r="E147" s="57" t="e">
        <f>(#REF!/#REF!)*100</f>
        <v>#REF!</v>
      </c>
      <c r="F147" s="57"/>
      <c r="G147" s="57"/>
      <c r="H147" s="57">
        <v>53.357767973955752</v>
      </c>
      <c r="I147" s="57">
        <v>47.376939347463988</v>
      </c>
      <c r="J147" s="178">
        <v>65.296249063589912</v>
      </c>
    </row>
    <row r="148" spans="2:10" x14ac:dyDescent="0.25">
      <c r="B148" s="126"/>
      <c r="C148" s="127"/>
      <c r="D148" s="127"/>
      <c r="E148" s="127"/>
      <c r="F148" s="127"/>
      <c r="G148" s="127"/>
      <c r="H148" s="127"/>
      <c r="I148" s="127"/>
      <c r="J148" s="200"/>
    </row>
    <row r="149" spans="2:10" s="20" customFormat="1" x14ac:dyDescent="0.25">
      <c r="B149" s="47" t="s">
        <v>64</v>
      </c>
      <c r="C149" s="26"/>
      <c r="D149" s="26"/>
      <c r="E149" s="26"/>
      <c r="F149" s="26"/>
      <c r="G149" s="26"/>
      <c r="H149" s="26"/>
      <c r="I149" s="26"/>
      <c r="J149" s="180"/>
    </row>
    <row r="150" spans="2:10" x14ac:dyDescent="0.25">
      <c r="B150" s="23" t="s">
        <v>78</v>
      </c>
      <c r="C150" s="39" t="e">
        <f>((C51+C50)/(C69+C68+C67+C66+C65+C64))*100</f>
        <v>#REF!</v>
      </c>
      <c r="D150" s="116" t="e">
        <f>((D51+D50)/(D69+D68+D67+D66+D65+D64))*100</f>
        <v>#REF!</v>
      </c>
      <c r="E150" s="116" t="e">
        <f>((E51+E50)/(E69+E68+E67+E66+E65+E64))*100</f>
        <v>#REF!</v>
      </c>
      <c r="F150" s="116"/>
      <c r="G150" s="116"/>
      <c r="H150" s="116">
        <v>77.639164647198385</v>
      </c>
      <c r="I150" s="116">
        <v>435.75254924666325</v>
      </c>
      <c r="J150" s="201">
        <v>582.24251741523699</v>
      </c>
    </row>
    <row r="151" spans="2:10" x14ac:dyDescent="0.25">
      <c r="B151" s="23" t="s">
        <v>79</v>
      </c>
      <c r="C151" s="39" t="e">
        <f>((C50+C51)/C53)*100</f>
        <v>#REF!</v>
      </c>
      <c r="D151" s="118" t="e">
        <f>((D50+D51)/D53)*100</f>
        <v>#REF!</v>
      </c>
      <c r="E151" s="118" t="e">
        <f>((E50+E51)/E53)*100</f>
        <v>#REF!</v>
      </c>
      <c r="F151" s="118"/>
      <c r="G151" s="118"/>
      <c r="H151" s="118">
        <v>11.634190655742144</v>
      </c>
      <c r="I151" s="118">
        <v>19.331900459267317</v>
      </c>
      <c r="J151" s="199">
        <v>28.980571680645962</v>
      </c>
    </row>
    <row r="152" spans="2:10" x14ac:dyDescent="0.25">
      <c r="B152" s="23" t="s">
        <v>155</v>
      </c>
      <c r="C152" s="39"/>
      <c r="D152" s="118"/>
      <c r="E152" s="118" t="e">
        <f>(E62+E63)/SUM(E45:E48)*100</f>
        <v>#REF!</v>
      </c>
      <c r="F152" s="118"/>
      <c r="G152" s="118"/>
      <c r="H152" s="118">
        <v>96.909256893824463</v>
      </c>
      <c r="I152" s="118">
        <v>124.20507270306349</v>
      </c>
      <c r="J152" s="199">
        <v>147.02106473389847</v>
      </c>
    </row>
    <row r="153" spans="2:10" x14ac:dyDescent="0.25">
      <c r="B153" s="23" t="s">
        <v>70</v>
      </c>
      <c r="C153" s="39" t="e">
        <f>C50/(-C11/360)</f>
        <v>#REF!</v>
      </c>
      <c r="D153" s="118" t="e">
        <f>D50/(-D11/360)</f>
        <v>#REF!</v>
      </c>
      <c r="E153" s="118" t="e">
        <f>E50/(-E11/360)</f>
        <v>#REF!</v>
      </c>
      <c r="F153" s="118"/>
      <c r="G153" s="118"/>
      <c r="H153" s="118">
        <v>0</v>
      </c>
      <c r="I153" s="118">
        <v>0</v>
      </c>
      <c r="J153" s="199">
        <v>0</v>
      </c>
    </row>
    <row r="154" spans="2:10" x14ac:dyDescent="0.25">
      <c r="B154" s="23" t="s">
        <v>69</v>
      </c>
      <c r="C154" s="39" t="e">
        <f>C5/C50</f>
        <v>#REF!</v>
      </c>
      <c r="D154" s="118" t="e">
        <f>D5/D50</f>
        <v>#REF!</v>
      </c>
      <c r="E154" s="118" t="e">
        <f>E5/E50</f>
        <v>#REF!</v>
      </c>
      <c r="F154" s="118"/>
      <c r="G154" s="118"/>
      <c r="H154" s="117" t="s">
        <v>102</v>
      </c>
      <c r="I154" s="117" t="s">
        <v>102</v>
      </c>
      <c r="J154" s="206" t="s">
        <v>102</v>
      </c>
    </row>
    <row r="155" spans="2:10" x14ac:dyDescent="0.25">
      <c r="B155" s="23" t="s">
        <v>91</v>
      </c>
      <c r="C155" s="39" t="e">
        <f>(C51/(C5*1.2))*360</f>
        <v>#REF!</v>
      </c>
      <c r="D155" s="118" t="e">
        <f>(D51/(D5*1.2))*360</f>
        <v>#REF!</v>
      </c>
      <c r="E155" s="118" t="e">
        <f>(E51/(E5*1.2))*360</f>
        <v>#REF!</v>
      </c>
      <c r="F155" s="118"/>
      <c r="G155" s="118"/>
      <c r="H155" s="118">
        <v>291.71155501735427</v>
      </c>
      <c r="I155" s="118">
        <v>210.44875179752171</v>
      </c>
      <c r="J155" s="199">
        <v>340.06483644763432</v>
      </c>
    </row>
    <row r="156" spans="2:10" x14ac:dyDescent="0.25">
      <c r="B156" s="23" t="s">
        <v>92</v>
      </c>
      <c r="C156" s="39" t="e">
        <f>(C66/(C5*1.2))*360</f>
        <v>#REF!</v>
      </c>
      <c r="D156" s="119" t="e">
        <f>(D66/(D5*1.2))*360</f>
        <v>#REF!</v>
      </c>
      <c r="E156" s="119" t="e">
        <f>(E66/(E5*1.2))*360</f>
        <v>#REF!</v>
      </c>
      <c r="F156" s="119"/>
      <c r="G156" s="119"/>
      <c r="H156" s="119">
        <v>244.64336544636052</v>
      </c>
      <c r="I156" s="119">
        <v>7.2888250367296346</v>
      </c>
      <c r="J156" s="202">
        <v>6.5343182214665507</v>
      </c>
    </row>
    <row r="157" spans="2:10" x14ac:dyDescent="0.25">
      <c r="B157" s="126"/>
      <c r="C157" s="127"/>
      <c r="D157" s="127"/>
      <c r="E157" s="127"/>
      <c r="F157" s="127"/>
      <c r="G157" s="127"/>
      <c r="H157" s="127"/>
      <c r="I157" s="127"/>
      <c r="J157" s="200"/>
    </row>
    <row r="158" spans="2:10" s="20" customFormat="1" x14ac:dyDescent="0.25">
      <c r="B158" s="47" t="s">
        <v>65</v>
      </c>
      <c r="C158" s="26"/>
      <c r="D158" s="26"/>
      <c r="E158" s="26"/>
      <c r="F158" s="26"/>
      <c r="G158" s="26"/>
      <c r="H158" s="26"/>
      <c r="I158" s="26"/>
      <c r="J158" s="180"/>
    </row>
    <row r="159" spans="2:10" x14ac:dyDescent="0.25">
      <c r="B159" s="21" t="s">
        <v>114</v>
      </c>
      <c r="C159" s="39" t="e">
        <f>(C63/(C55+C59+C61))*100</f>
        <v>#REF!</v>
      </c>
      <c r="D159" s="123" t="e">
        <f>(D63+D70)*100/D62</f>
        <v>#REF!</v>
      </c>
      <c r="E159" s="123" t="e">
        <f>(E63+E70)*100/E62</f>
        <v>#REF!</v>
      </c>
      <c r="F159" s="213"/>
      <c r="G159" s="213"/>
      <c r="H159" s="222">
        <v>2.3989300790913113E-3</v>
      </c>
      <c r="I159" s="222">
        <v>0</v>
      </c>
      <c r="J159" s="223">
        <v>3.3017354402508241E-2</v>
      </c>
    </row>
    <row r="160" spans="2:10" x14ac:dyDescent="0.25">
      <c r="B160" s="21" t="s">
        <v>176</v>
      </c>
      <c r="C160" s="39" t="e">
        <f>C20/(#REF!)</f>
        <v>#REF!</v>
      </c>
      <c r="D160" s="125" t="e">
        <f>D20/(#REF!/1000000)</f>
        <v>#REF!</v>
      </c>
      <c r="E160" s="125" t="e">
        <f>E20/(#REF!/1000000)</f>
        <v>#REF!</v>
      </c>
      <c r="F160" s="125"/>
      <c r="G160" s="125"/>
      <c r="H160" s="224">
        <v>0.99813973627133179</v>
      </c>
      <c r="I160" s="224">
        <v>6.7635434780696153</v>
      </c>
      <c r="J160" s="225">
        <v>6.6260814795142622</v>
      </c>
    </row>
    <row r="161" spans="2:10" x14ac:dyDescent="0.25">
      <c r="B161" s="48" t="s">
        <v>177</v>
      </c>
      <c r="C161" s="49" t="e">
        <f>(C63/C20)*100</f>
        <v>#REF!</v>
      </c>
      <c r="D161" s="128" t="e">
        <f>(D63+D70)/D20</f>
        <v>#REF!</v>
      </c>
      <c r="E161" s="128" t="e">
        <f>(E63+E70)/E20</f>
        <v>#REF!</v>
      </c>
      <c r="F161" s="128"/>
      <c r="G161" s="128"/>
      <c r="H161" s="226">
        <v>2.203055508091527E-4</v>
      </c>
      <c r="I161" s="226">
        <v>7.5768415154897867E-4</v>
      </c>
      <c r="J161" s="227">
        <v>1.7753796602237189E-3</v>
      </c>
    </row>
    <row r="162" spans="2:10" x14ac:dyDescent="0.25">
      <c r="I162" s="17"/>
      <c r="J162" s="17"/>
    </row>
    <row r="163" spans="2:10" x14ac:dyDescent="0.25">
      <c r="B163" s="229" t="s">
        <v>66</v>
      </c>
      <c r="C163" s="50"/>
      <c r="D163" s="50"/>
      <c r="E163" s="50"/>
      <c r="F163" s="50"/>
      <c r="G163" s="50"/>
      <c r="H163" s="50"/>
      <c r="I163" s="50"/>
      <c r="J163" s="203"/>
    </row>
    <row r="164" spans="2:10" x14ac:dyDescent="0.25">
      <c r="B164" s="230" t="s">
        <v>80</v>
      </c>
      <c r="C164" s="51"/>
      <c r="D164" s="51"/>
      <c r="E164" s="51"/>
      <c r="F164" s="51"/>
      <c r="G164" s="51"/>
      <c r="H164" s="51"/>
      <c r="I164" s="51"/>
      <c r="J164" s="204"/>
    </row>
    <row r="165" spans="2:10" x14ac:dyDescent="0.25">
      <c r="B165" s="230" t="s">
        <v>67</v>
      </c>
      <c r="C165" s="51"/>
      <c r="D165" s="51"/>
      <c r="E165" s="51"/>
      <c r="F165" s="51"/>
      <c r="G165" s="51"/>
      <c r="H165" s="51"/>
      <c r="I165" s="51"/>
      <c r="J165" s="204"/>
    </row>
    <row r="166" spans="2:10" x14ac:dyDescent="0.25">
      <c r="B166" s="230" t="s">
        <v>71</v>
      </c>
      <c r="C166" s="51"/>
      <c r="D166" s="51"/>
      <c r="E166" s="51"/>
      <c r="F166" s="51"/>
      <c r="G166" s="51"/>
      <c r="H166" s="51"/>
      <c r="I166" s="51"/>
      <c r="J166" s="204"/>
    </row>
    <row r="167" spans="2:10" x14ac:dyDescent="0.25">
      <c r="B167" s="230" t="s">
        <v>115</v>
      </c>
      <c r="C167" s="51"/>
      <c r="D167" s="51"/>
      <c r="E167" s="51"/>
      <c r="F167" s="51"/>
      <c r="G167" s="51"/>
      <c r="H167" s="51"/>
      <c r="I167" s="51"/>
      <c r="J167" s="204"/>
    </row>
    <row r="168" spans="2:10" x14ac:dyDescent="0.25">
      <c r="B168" s="230" t="s">
        <v>116</v>
      </c>
      <c r="C168" s="51"/>
      <c r="D168" s="51"/>
      <c r="E168" s="51"/>
      <c r="F168" s="51"/>
      <c r="G168" s="51"/>
      <c r="H168" s="51"/>
      <c r="I168" s="51"/>
      <c r="J168" s="204"/>
    </row>
    <row r="169" spans="2:10" x14ac:dyDescent="0.25">
      <c r="B169" s="230" t="s">
        <v>68</v>
      </c>
      <c r="C169" s="51"/>
      <c r="D169" s="51"/>
      <c r="E169" s="51"/>
      <c r="F169" s="51"/>
      <c r="G169" s="51"/>
      <c r="H169" s="51"/>
      <c r="I169" s="51"/>
      <c r="J169" s="204"/>
    </row>
    <row r="170" spans="2:10" x14ac:dyDescent="0.25">
      <c r="B170" s="230" t="s">
        <v>117</v>
      </c>
      <c r="C170" s="51"/>
      <c r="D170" s="51"/>
      <c r="E170" s="51"/>
      <c r="F170" s="51"/>
      <c r="G170" s="51"/>
      <c r="H170" s="51"/>
      <c r="I170" s="51"/>
      <c r="J170" s="204"/>
    </row>
    <row r="171" spans="2:10" x14ac:dyDescent="0.25">
      <c r="B171" s="230" t="s">
        <v>118</v>
      </c>
      <c r="C171" s="51"/>
      <c r="D171" s="51"/>
      <c r="E171" s="51"/>
      <c r="F171" s="51"/>
      <c r="G171" s="51"/>
      <c r="H171" s="51"/>
      <c r="I171" s="51"/>
      <c r="J171" s="204"/>
    </row>
    <row r="172" spans="2:10" x14ac:dyDescent="0.25">
      <c r="B172" s="230" t="s">
        <v>119</v>
      </c>
      <c r="C172" s="51"/>
      <c r="D172" s="51"/>
      <c r="E172" s="51"/>
      <c r="F172" s="51"/>
      <c r="G172" s="51"/>
      <c r="H172" s="51"/>
      <c r="I172" s="51"/>
      <c r="J172" s="204"/>
    </row>
    <row r="173" spans="2:10" x14ac:dyDescent="0.25">
      <c r="B173" s="231" t="s">
        <v>120</v>
      </c>
      <c r="C173" s="52"/>
      <c r="D173" s="52"/>
      <c r="E173" s="52"/>
      <c r="F173" s="52"/>
      <c r="G173" s="52"/>
      <c r="H173" s="52"/>
      <c r="I173" s="52"/>
      <c r="J173" s="205"/>
    </row>
  </sheetData>
  <pageMargins left="0.78740157499999996" right="0.78740157499999996" top="0.984251969" bottom="0.984251969" header="0.3" footer="0.3"/>
  <pageSetup paperSize="9" orientation="portrait" r:id="rId1"/>
  <ignoredErrors>
    <ignoredError sqref="C15:E15" emptyCellReference="1"/>
    <ignoredError sqref="C56:G56" formulaRange="1"/>
    <ignoredError sqref="G9 G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FDAB-8C2A-2943-BC8D-A85E36A09630}">
  <sheetPr>
    <pageSetUpPr fitToPage="1"/>
  </sheetPr>
  <dimension ref="B2:H32"/>
  <sheetViews>
    <sheetView showGridLines="0" zoomScale="120" zoomScaleNormal="120" workbookViewId="0">
      <selection activeCell="G6" sqref="G6"/>
    </sheetView>
  </sheetViews>
  <sheetFormatPr baseColWidth="10" defaultColWidth="10.85546875" defaultRowHeight="15.75" x14ac:dyDescent="0.25"/>
  <cols>
    <col min="1" max="1" width="10.85546875" style="76"/>
    <col min="2" max="2" width="40.7109375" style="76" bestFit="1" customWidth="1"/>
    <col min="3" max="16384" width="10.85546875" style="76"/>
  </cols>
  <sheetData>
    <row r="2" spans="2:8" x14ac:dyDescent="0.25">
      <c r="B2" s="74" t="s">
        <v>148</v>
      </c>
      <c r="C2" s="74">
        <v>2014</v>
      </c>
      <c r="D2" s="74">
        <v>2015</v>
      </c>
      <c r="E2" s="74">
        <v>2016</v>
      </c>
      <c r="F2" s="74">
        <v>2017</v>
      </c>
      <c r="G2" s="74">
        <v>2018</v>
      </c>
      <c r="H2" s="74">
        <v>2019</v>
      </c>
    </row>
    <row r="4" spans="2:8" x14ac:dyDescent="0.25">
      <c r="B4" s="136" t="s">
        <v>55</v>
      </c>
      <c r="C4" s="88">
        <v>34722</v>
      </c>
      <c r="D4" s="88">
        <v>40001</v>
      </c>
      <c r="E4" s="88">
        <v>45827</v>
      </c>
      <c r="F4" s="88">
        <v>49219.316118000002</v>
      </c>
      <c r="G4" s="88">
        <v>56356.090680000001</v>
      </c>
      <c r="H4" s="137"/>
    </row>
    <row r="5" spans="2:8" x14ac:dyDescent="0.25">
      <c r="B5" s="138"/>
      <c r="C5" s="139"/>
      <c r="D5" s="139"/>
      <c r="E5" s="139"/>
      <c r="F5" s="139"/>
      <c r="G5" s="139"/>
      <c r="H5" s="140"/>
    </row>
    <row r="6" spans="2:8" x14ac:dyDescent="0.25">
      <c r="B6" s="138" t="s">
        <v>52</v>
      </c>
      <c r="C6" s="90">
        <v>28644</v>
      </c>
      <c r="D6" s="90">
        <v>6584</v>
      </c>
      <c r="E6" s="90">
        <v>6065</v>
      </c>
      <c r="F6" s="90">
        <v>9627.3339729999971</v>
      </c>
      <c r="G6" s="90">
        <v>13698.716945</v>
      </c>
      <c r="H6" s="140"/>
    </row>
    <row r="7" spans="2:8" x14ac:dyDescent="0.25">
      <c r="B7" s="138"/>
      <c r="C7" s="141">
        <f>C6/C4</f>
        <v>0.82495247969587004</v>
      </c>
      <c r="D7" s="141">
        <f t="shared" ref="D7:G7" si="0">D6/D4</f>
        <v>0.16459588510287243</v>
      </c>
      <c r="E7" s="141">
        <f t="shared" si="0"/>
        <v>0.1323455604774478</v>
      </c>
      <c r="F7" s="141">
        <f t="shared" si="0"/>
        <v>0.19560072614416485</v>
      </c>
      <c r="G7" s="141">
        <f t="shared" si="0"/>
        <v>0.24307429382892745</v>
      </c>
      <c r="H7" s="140"/>
    </row>
    <row r="8" spans="2:8" x14ac:dyDescent="0.25">
      <c r="B8" s="138"/>
      <c r="C8" s="139"/>
      <c r="D8" s="139"/>
      <c r="E8" s="139"/>
      <c r="F8" s="139"/>
      <c r="G8" s="139"/>
      <c r="H8" s="140"/>
    </row>
    <row r="9" spans="2:8" x14ac:dyDescent="0.25">
      <c r="B9" s="138" t="s">
        <v>112</v>
      </c>
      <c r="C9" s="90">
        <v>5788</v>
      </c>
      <c r="D9" s="90">
        <v>883</v>
      </c>
      <c r="E9" s="90">
        <v>1556</v>
      </c>
      <c r="F9" s="90">
        <v>1420.4872949999976</v>
      </c>
      <c r="G9" s="90">
        <v>6275.2910440000005</v>
      </c>
      <c r="H9" s="140"/>
    </row>
    <row r="10" spans="2:8" x14ac:dyDescent="0.25">
      <c r="B10" s="142"/>
      <c r="C10" s="81">
        <f>C9/C4</f>
        <v>0.16669546685098785</v>
      </c>
      <c r="D10" s="81">
        <f t="shared" ref="D10:G10" si="1">D9/D4</f>
        <v>2.207444813879653E-2</v>
      </c>
      <c r="E10" s="81">
        <f t="shared" si="1"/>
        <v>3.3953782704519167E-2</v>
      </c>
      <c r="F10" s="81">
        <f t="shared" si="1"/>
        <v>2.8860362293423071E-2</v>
      </c>
      <c r="G10" s="81">
        <f t="shared" si="1"/>
        <v>0.11135071592584783</v>
      </c>
      <c r="H10" s="143"/>
    </row>
    <row r="11" spans="2:8" x14ac:dyDescent="0.25">
      <c r="H11" s="139"/>
    </row>
    <row r="12" spans="2:8" x14ac:dyDescent="0.25">
      <c r="B12" s="136" t="s">
        <v>143</v>
      </c>
      <c r="C12" s="88">
        <v>205420</v>
      </c>
      <c r="D12" s="88">
        <v>206663</v>
      </c>
      <c r="E12" s="88">
        <v>179009</v>
      </c>
      <c r="F12" s="88">
        <v>184982.38870899999</v>
      </c>
      <c r="G12" s="88">
        <v>175410.12949600001</v>
      </c>
      <c r="H12" s="137"/>
    </row>
    <row r="13" spans="2:8" x14ac:dyDescent="0.25">
      <c r="B13" s="138" t="s">
        <v>128</v>
      </c>
      <c r="C13" s="90">
        <v>93312</v>
      </c>
      <c r="D13" s="90">
        <v>93683</v>
      </c>
      <c r="E13" s="90">
        <v>94744</v>
      </c>
      <c r="F13" s="90">
        <v>95663.352492000005</v>
      </c>
      <c r="G13" s="90">
        <v>101437.61539600001</v>
      </c>
      <c r="H13" s="140"/>
    </row>
    <row r="14" spans="2:8" s="146" customFormat="1" ht="15" x14ac:dyDescent="0.25">
      <c r="B14" s="147" t="s">
        <v>153</v>
      </c>
      <c r="C14" s="148"/>
      <c r="D14" s="148">
        <f>D13-C13</f>
        <v>371</v>
      </c>
      <c r="E14" s="148">
        <f t="shared" ref="E14:G14" si="2">E13-D13</f>
        <v>1061</v>
      </c>
      <c r="F14" s="148">
        <f t="shared" si="2"/>
        <v>919.35249200000544</v>
      </c>
      <c r="G14" s="148">
        <f t="shared" si="2"/>
        <v>5774.2629040000029</v>
      </c>
      <c r="H14" s="149"/>
    </row>
    <row r="15" spans="2:8" x14ac:dyDescent="0.25">
      <c r="B15" s="138" t="s">
        <v>58</v>
      </c>
      <c r="C15" s="90">
        <v>67436</v>
      </c>
      <c r="D15" s="90">
        <v>60292</v>
      </c>
      <c r="E15" s="90">
        <v>50343</v>
      </c>
      <c r="F15" s="90">
        <v>44170.072934999997</v>
      </c>
      <c r="G15" s="90">
        <v>33252.316633000002</v>
      </c>
      <c r="H15" s="140"/>
    </row>
    <row r="16" spans="2:8" s="146" customFormat="1" ht="15" x14ac:dyDescent="0.25">
      <c r="B16" s="147" t="s">
        <v>153</v>
      </c>
      <c r="C16" s="148"/>
      <c r="D16" s="148">
        <f>D15-C15</f>
        <v>-7144</v>
      </c>
      <c r="E16" s="148">
        <f t="shared" ref="E16:G16" si="3">E15-D15</f>
        <v>-9949</v>
      </c>
      <c r="F16" s="148">
        <f t="shared" si="3"/>
        <v>-6172.9270650000035</v>
      </c>
      <c r="G16" s="148">
        <f t="shared" si="3"/>
        <v>-10917.756301999994</v>
      </c>
      <c r="H16" s="149"/>
    </row>
    <row r="17" spans="2:8" x14ac:dyDescent="0.25">
      <c r="B17" s="138"/>
      <c r="C17" s="139"/>
      <c r="D17" s="139"/>
      <c r="E17" s="139"/>
      <c r="F17" s="139"/>
      <c r="G17" s="139"/>
      <c r="H17" s="140"/>
    </row>
    <row r="18" spans="2:8" x14ac:dyDescent="0.25">
      <c r="B18" s="138" t="s">
        <v>57</v>
      </c>
      <c r="C18" s="90">
        <v>8268</v>
      </c>
      <c r="D18" s="90">
        <v>5993</v>
      </c>
      <c r="E18" s="90">
        <v>6476</v>
      </c>
      <c r="F18" s="90">
        <v>4736.1109939999997</v>
      </c>
      <c r="G18" s="90">
        <v>8571.3010149999991</v>
      </c>
      <c r="H18" s="140"/>
    </row>
    <row r="19" spans="2:8" x14ac:dyDescent="0.25">
      <c r="B19" s="138" t="s">
        <v>59</v>
      </c>
      <c r="C19" s="90">
        <v>10239</v>
      </c>
      <c r="D19" s="90">
        <v>18085</v>
      </c>
      <c r="E19" s="90">
        <v>15314</v>
      </c>
      <c r="F19" s="90">
        <v>18972.143581</v>
      </c>
      <c r="G19" s="90">
        <v>9223.6810719999994</v>
      </c>
      <c r="H19" s="140"/>
    </row>
    <row r="20" spans="2:8" x14ac:dyDescent="0.25">
      <c r="B20" s="138" t="s">
        <v>150</v>
      </c>
      <c r="C20" s="90">
        <f>C18-C19</f>
        <v>-1971</v>
      </c>
      <c r="D20" s="90">
        <f t="shared" ref="D20:G20" si="4">D18-D19</f>
        <v>-12092</v>
      </c>
      <c r="E20" s="90">
        <f t="shared" si="4"/>
        <v>-8838</v>
      </c>
      <c r="F20" s="90">
        <f t="shared" si="4"/>
        <v>-14236.032587000002</v>
      </c>
      <c r="G20" s="90">
        <f t="shared" si="4"/>
        <v>-652.38005700000031</v>
      </c>
      <c r="H20" s="140"/>
    </row>
    <row r="21" spans="2:8" x14ac:dyDescent="0.25">
      <c r="B21" s="138"/>
      <c r="C21" s="90"/>
      <c r="D21" s="90"/>
      <c r="E21" s="90"/>
      <c r="F21" s="90"/>
      <c r="G21" s="90"/>
      <c r="H21" s="140"/>
    </row>
    <row r="22" spans="2:8" x14ac:dyDescent="0.25">
      <c r="B22" s="142" t="s">
        <v>151</v>
      </c>
      <c r="C22" s="95">
        <f>C15+C19-C18</f>
        <v>69407</v>
      </c>
      <c r="D22" s="95">
        <f t="shared" ref="D22:G22" si="5">D15+D19-D18</f>
        <v>72384</v>
      </c>
      <c r="E22" s="95">
        <f t="shared" si="5"/>
        <v>59181</v>
      </c>
      <c r="F22" s="95">
        <f t="shared" si="5"/>
        <v>58406.105521999998</v>
      </c>
      <c r="G22" s="95">
        <f t="shared" si="5"/>
        <v>33904.696690000004</v>
      </c>
      <c r="H22" s="143"/>
    </row>
    <row r="23" spans="2:8" x14ac:dyDescent="0.25">
      <c r="H23" s="139"/>
    </row>
    <row r="24" spans="2:8" x14ac:dyDescent="0.25">
      <c r="B24" s="136" t="s">
        <v>144</v>
      </c>
      <c r="C24" s="79">
        <f>C9/C4</f>
        <v>0.16669546685098785</v>
      </c>
      <c r="D24" s="79">
        <f t="shared" ref="D24:G24" si="6">D9/D4</f>
        <v>2.207444813879653E-2</v>
      </c>
      <c r="E24" s="79">
        <f t="shared" si="6"/>
        <v>3.3953782704519167E-2</v>
      </c>
      <c r="F24" s="79">
        <f t="shared" si="6"/>
        <v>2.8860362293423071E-2</v>
      </c>
      <c r="G24" s="79">
        <f t="shared" si="6"/>
        <v>0.11135071592584783</v>
      </c>
      <c r="H24" s="137"/>
    </row>
    <row r="25" spans="2:8" x14ac:dyDescent="0.25">
      <c r="B25" s="138" t="s">
        <v>123</v>
      </c>
      <c r="C25" s="141">
        <f>C4/C12</f>
        <v>0.16902930581248174</v>
      </c>
      <c r="D25" s="141">
        <f t="shared" ref="D25:G25" si="7">D4/D12</f>
        <v>0.19355665987622361</v>
      </c>
      <c r="E25" s="141">
        <f t="shared" si="7"/>
        <v>0.25600388807266672</v>
      </c>
      <c r="F25" s="141">
        <f t="shared" si="7"/>
        <v>0.266075686780259</v>
      </c>
      <c r="G25" s="141">
        <f t="shared" si="7"/>
        <v>0.32128184867046189</v>
      </c>
      <c r="H25" s="140"/>
    </row>
    <row r="26" spans="2:8" x14ac:dyDescent="0.25">
      <c r="B26" s="138" t="s">
        <v>154</v>
      </c>
      <c r="C26" s="141">
        <f>C12/C13</f>
        <v>2.2014317558299039</v>
      </c>
      <c r="D26" s="141">
        <f t="shared" ref="D26:G26" si="8">D12/D13</f>
        <v>2.2059818750467</v>
      </c>
      <c r="E26" s="141">
        <f t="shared" si="8"/>
        <v>1.8893966900278645</v>
      </c>
      <c r="F26" s="141">
        <f t="shared" si="8"/>
        <v>1.9336808076475203</v>
      </c>
      <c r="G26" s="141">
        <f t="shared" si="8"/>
        <v>1.7292414535891876</v>
      </c>
      <c r="H26" s="140"/>
    </row>
    <row r="27" spans="2:8" x14ac:dyDescent="0.25">
      <c r="B27" s="138"/>
      <c r="C27" s="150"/>
      <c r="D27" s="150"/>
      <c r="E27" s="150"/>
      <c r="F27" s="150"/>
      <c r="G27" s="150"/>
      <c r="H27" s="140"/>
    </row>
    <row r="28" spans="2:8" x14ac:dyDescent="0.25">
      <c r="B28" s="138" t="s">
        <v>145</v>
      </c>
      <c r="C28" s="144">
        <f>C9/C12</f>
        <v>2.8176419043910036E-2</v>
      </c>
      <c r="D28" s="144">
        <f>D9/D12</f>
        <v>4.2726564503563769E-3</v>
      </c>
      <c r="E28" s="144">
        <f>E9/E12</f>
        <v>8.6923003871313739E-3</v>
      </c>
      <c r="F28" s="144">
        <f>F9/F12</f>
        <v>7.6790407179496345E-3</v>
      </c>
      <c r="G28" s="144">
        <f>G9/G12</f>
        <v>3.5774963863435837E-2</v>
      </c>
      <c r="H28" s="140"/>
    </row>
    <row r="29" spans="2:8" x14ac:dyDescent="0.25">
      <c r="B29" s="138" t="s">
        <v>146</v>
      </c>
      <c r="C29" s="144">
        <f>C9/C13</f>
        <v>6.202846364883402E-2</v>
      </c>
      <c r="D29" s="144">
        <f t="shared" ref="D29:G29" si="9">D9/D13</f>
        <v>9.4254026877875381E-3</v>
      </c>
      <c r="E29" s="144">
        <f t="shared" si="9"/>
        <v>1.6423203580173941E-2</v>
      </c>
      <c r="F29" s="144">
        <f t="shared" si="9"/>
        <v>1.4848813657443043E-2</v>
      </c>
      <c r="G29" s="144">
        <f t="shared" si="9"/>
        <v>6.1863550513308441E-2</v>
      </c>
      <c r="H29" s="140"/>
    </row>
    <row r="30" spans="2:8" x14ac:dyDescent="0.25">
      <c r="B30" s="138"/>
      <c r="C30" s="139"/>
      <c r="D30" s="139"/>
      <c r="E30" s="139"/>
      <c r="F30" s="139"/>
      <c r="G30" s="139"/>
      <c r="H30" s="140"/>
    </row>
    <row r="31" spans="2:8" x14ac:dyDescent="0.25">
      <c r="B31" s="138" t="s">
        <v>152</v>
      </c>
      <c r="C31" s="141">
        <f>C15/C13</f>
        <v>0.72269375857338825</v>
      </c>
      <c r="D31" s="141">
        <f t="shared" ref="D31:G31" si="10">D15/D13</f>
        <v>0.64357460798650767</v>
      </c>
      <c r="E31" s="141">
        <f t="shared" si="10"/>
        <v>0.53135818627037068</v>
      </c>
      <c r="F31" s="141">
        <f t="shared" si="10"/>
        <v>0.46172407493970885</v>
      </c>
      <c r="G31" s="141">
        <f t="shared" si="10"/>
        <v>0.32781051194063499</v>
      </c>
      <c r="H31" s="140"/>
    </row>
    <row r="32" spans="2:8" x14ac:dyDescent="0.25">
      <c r="B32" s="142" t="s">
        <v>147</v>
      </c>
      <c r="C32" s="145" t="e">
        <f>C6/(#REF!/1000000)</f>
        <v>#REF!</v>
      </c>
      <c r="D32" s="145" t="e">
        <f>D6/(#REF!/1000000)</f>
        <v>#REF!</v>
      </c>
      <c r="E32" s="145" t="e">
        <f>E6/(#REF!/1000000)</f>
        <v>#REF!</v>
      </c>
      <c r="F32" s="145" t="e">
        <f>F6/(#REF!/1000000)</f>
        <v>#REF!</v>
      </c>
      <c r="G32" s="145" t="e">
        <f>G6/(#REF!/1000000)</f>
        <v>#REF!</v>
      </c>
      <c r="H32" s="143"/>
    </row>
  </sheetData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402E6-BF24-2646-A4C8-965524CA5F58}">
  <dimension ref="C5:L47"/>
  <sheetViews>
    <sheetView showGridLines="0" workbookViewId="0">
      <selection activeCell="L38" sqref="L38"/>
    </sheetView>
  </sheetViews>
  <sheetFormatPr baseColWidth="10" defaultColWidth="10.85546875" defaultRowHeight="15.75" x14ac:dyDescent="0.25"/>
  <cols>
    <col min="1" max="1" width="10.85546875" style="17"/>
    <col min="2" max="2" width="1.7109375" style="17" customWidth="1"/>
    <col min="3" max="3" width="35.28515625" style="17" bestFit="1" customWidth="1"/>
    <col min="4" max="8" width="9.140625" style="17" customWidth="1"/>
    <col min="9" max="9" width="3.140625" style="17" customWidth="1"/>
    <col min="10" max="10" width="9.140625" style="17" customWidth="1"/>
    <col min="11" max="11" width="3.28515625" style="17" customWidth="1"/>
    <col min="12" max="12" width="10" style="17" customWidth="1"/>
    <col min="13" max="13" width="1.7109375" style="17" customWidth="1"/>
    <col min="14" max="16384" width="10.85546875" style="17"/>
  </cols>
  <sheetData>
    <row r="5" spans="3:12" s="20" customFormat="1" x14ac:dyDescent="0.25">
      <c r="D5" s="74">
        <v>2015</v>
      </c>
      <c r="E5" s="74">
        <v>2016</v>
      </c>
      <c r="F5" s="74">
        <v>2017</v>
      </c>
      <c r="G5" s="74">
        <v>2018</v>
      </c>
      <c r="H5" s="74">
        <v>2019</v>
      </c>
      <c r="J5" s="74" t="s">
        <v>125</v>
      </c>
      <c r="L5" s="74" t="s">
        <v>121</v>
      </c>
    </row>
    <row r="6" spans="3:12" x14ac:dyDescent="0.25">
      <c r="C6" s="72" t="s">
        <v>122</v>
      </c>
      <c r="D6" s="79" t="e">
        <f>'Synthèse données &amp; ratios'!E142/100</f>
        <v>#REF!</v>
      </c>
      <c r="E6" s="79">
        <f>'Synthèse données &amp; ratios'!F142/100</f>
        <v>0</v>
      </c>
      <c r="F6" s="79">
        <f>'Synthèse données &amp; ratios'!G142/100</f>
        <v>0</v>
      </c>
      <c r="G6" s="79">
        <f>'Synthèse données &amp; ratios'!H142/100</f>
        <v>-0.39480212541578374</v>
      </c>
      <c r="H6" s="80">
        <f>'Synthèse données &amp; ratios'!I142/100</f>
        <v>0.31456999527980239</v>
      </c>
      <c r="I6" s="33"/>
      <c r="J6" s="83" t="e">
        <f>AVERAGE(D6:H6)</f>
        <v>#REF!</v>
      </c>
      <c r="L6" s="76">
        <v>4</v>
      </c>
    </row>
    <row r="7" spans="3:12" x14ac:dyDescent="0.25">
      <c r="C7" s="48" t="s">
        <v>126</v>
      </c>
      <c r="D7" s="81" t="e">
        <f>'Synthèse données &amp; ratios'!E143/100</f>
        <v>#REF!</v>
      </c>
      <c r="E7" s="81">
        <f>'Synthèse données &amp; ratios'!F143/100</f>
        <v>0</v>
      </c>
      <c r="F7" s="81">
        <f>'Synthèse données &amp; ratios'!G143/100</f>
        <v>0</v>
      </c>
      <c r="G7" s="81">
        <f>'Synthèse données &amp; ratios'!H143/100</f>
        <v>0.1196475469240498</v>
      </c>
      <c r="H7" s="82">
        <f>'Synthèse données &amp; ratios'!I143/100</f>
        <v>0.27558111360812992</v>
      </c>
      <c r="I7" s="33"/>
      <c r="J7" s="84" t="e">
        <f>AVERAGE(D7:H7)</f>
        <v>#REF!</v>
      </c>
      <c r="L7" s="76">
        <v>5</v>
      </c>
    </row>
    <row r="8" spans="3:12" x14ac:dyDescent="0.25">
      <c r="D8" s="76"/>
      <c r="E8" s="76"/>
      <c r="F8" s="76"/>
      <c r="G8" s="76"/>
      <c r="H8" s="76"/>
      <c r="J8" s="76"/>
    </row>
    <row r="9" spans="3:12" x14ac:dyDescent="0.25">
      <c r="C9" s="92" t="s">
        <v>127</v>
      </c>
      <c r="D9" s="168" t="e">
        <f>'Synthèse données &amp; ratios'!E146/100</f>
        <v>#REF!</v>
      </c>
      <c r="E9" s="168">
        <f>'Synthèse données &amp; ratios'!F146/100</f>
        <v>0</v>
      </c>
      <c r="F9" s="168">
        <f>'Synthèse données &amp; ratios'!G146/100</f>
        <v>0</v>
      </c>
      <c r="G9" s="168">
        <f>'Synthèse données &amp; ratios'!H146/100</f>
        <v>-4.7237105826399582E-2</v>
      </c>
      <c r="H9" s="169">
        <f>'Synthèse données &amp; ratios'!I146/100</f>
        <v>8.6689549606912095E-2</v>
      </c>
      <c r="I9" s="20"/>
      <c r="J9" s="170" t="e">
        <f>AVERAGE(D9:H9)</f>
        <v>#REF!</v>
      </c>
      <c r="L9" s="76">
        <v>5</v>
      </c>
    </row>
    <row r="10" spans="3:12" x14ac:dyDescent="0.25">
      <c r="D10" s="76"/>
      <c r="E10" s="76"/>
      <c r="F10" s="76"/>
      <c r="G10" s="76"/>
      <c r="H10" s="76"/>
      <c r="J10" s="76"/>
    </row>
    <row r="11" spans="3:12" x14ac:dyDescent="0.25">
      <c r="C11" s="167" t="s">
        <v>173</v>
      </c>
      <c r="D11" s="171" t="e">
        <f>+'Synthèse données &amp; ratios'!E144/100</f>
        <v>#REF!</v>
      </c>
      <c r="E11" s="171">
        <f>+'Synthèse données &amp; ratios'!F144/100</f>
        <v>0</v>
      </c>
      <c r="F11" s="171">
        <f>+'Synthèse données &amp; ratios'!G144/100</f>
        <v>0</v>
      </c>
      <c r="G11" s="171">
        <f>+'Synthèse données &amp; ratios'!H144/100</f>
        <v>1.1762905499594956</v>
      </c>
      <c r="H11" s="172">
        <f>+'Synthèse données &amp; ratios'!I144/100</f>
        <v>1.0466200777266781</v>
      </c>
      <c r="J11" s="170" t="e">
        <f>AVERAGE(D11:H11)</f>
        <v>#REF!</v>
      </c>
      <c r="L11" s="76">
        <v>4</v>
      </c>
    </row>
    <row r="13" spans="3:12" x14ac:dyDescent="0.25">
      <c r="C13" s="92" t="s">
        <v>124</v>
      </c>
      <c r="D13" s="168" t="e">
        <f>'Synthèse données &amp; ratios'!E145/100</f>
        <v>#REF!</v>
      </c>
      <c r="E13" s="168">
        <f>'Synthèse données &amp; ratios'!F145/100</f>
        <v>0</v>
      </c>
      <c r="F13" s="168">
        <f>'Synthèse données &amp; ratios'!G145/100</f>
        <v>0</v>
      </c>
      <c r="G13" s="168">
        <f>'Synthèse données &amp; ratios'!H145/100</f>
        <v>-5.5564561191030461E-2</v>
      </c>
      <c r="H13" s="169">
        <f>'Synthèse données &amp; ratios'!I145/100</f>
        <v>9.0731023147677059E-2</v>
      </c>
      <c r="I13" s="20"/>
      <c r="J13" s="170" t="e">
        <f>AVERAGE(D13:H13)</f>
        <v>#REF!</v>
      </c>
      <c r="L13" s="76">
        <v>5</v>
      </c>
    </row>
    <row r="18" spans="3:12" x14ac:dyDescent="0.25">
      <c r="D18" s="74">
        <v>2015</v>
      </c>
      <c r="E18" s="74">
        <v>2016</v>
      </c>
      <c r="F18" s="74">
        <v>2017</v>
      </c>
      <c r="G18" s="74">
        <v>2018</v>
      </c>
      <c r="H18" s="74">
        <v>2019</v>
      </c>
      <c r="I18" s="20"/>
      <c r="J18" s="74" t="s">
        <v>125</v>
      </c>
      <c r="K18" s="20"/>
      <c r="L18" s="74" t="s">
        <v>121</v>
      </c>
    </row>
    <row r="19" spans="3:12" x14ac:dyDescent="0.25">
      <c r="C19" s="72" t="s">
        <v>129</v>
      </c>
      <c r="D19" s="77" t="e">
        <f>'Synthèse données &amp; ratios'!E151/100</f>
        <v>#REF!</v>
      </c>
      <c r="E19" s="77">
        <f>'Synthèse données &amp; ratios'!F151/100</f>
        <v>0</v>
      </c>
      <c r="F19" s="77">
        <f>'Synthèse données &amp; ratios'!G151/100</f>
        <v>0</v>
      </c>
      <c r="G19" s="77">
        <f>'Synthèse données &amp; ratios'!H151/100</f>
        <v>0.11634190655742144</v>
      </c>
      <c r="H19" s="78">
        <f>'Synthèse données &amp; ratios'!I151/100</f>
        <v>0.19331900459267318</v>
      </c>
      <c r="I19" s="75"/>
      <c r="J19" s="85" t="e">
        <f>AVERAGE(D19:H19)</f>
        <v>#REF!</v>
      </c>
      <c r="L19" s="76">
        <v>2</v>
      </c>
    </row>
    <row r="20" spans="3:12" x14ac:dyDescent="0.25">
      <c r="C20" s="21" t="s">
        <v>130</v>
      </c>
      <c r="D20" s="86" t="e">
        <f>'Synthèse données &amp; ratios'!E150/100</f>
        <v>#REF!</v>
      </c>
      <c r="E20" s="86">
        <f>'Synthèse données &amp; ratios'!F150/100</f>
        <v>0</v>
      </c>
      <c r="F20" s="86">
        <f>'Synthèse données &amp; ratios'!G150/100</f>
        <v>0</v>
      </c>
      <c r="G20" s="86">
        <f>'Synthèse données &amp; ratios'!H150/100</f>
        <v>0.77639164647198389</v>
      </c>
      <c r="H20" s="87">
        <f>'Synthèse données &amp; ratios'!I150/100</f>
        <v>4.3575254924666327</v>
      </c>
      <c r="J20" s="85" t="e">
        <f>AVERAGE(D20:H20)</f>
        <v>#REF!</v>
      </c>
      <c r="L20" s="76">
        <v>2</v>
      </c>
    </row>
    <row r="21" spans="3:12" x14ac:dyDescent="0.25">
      <c r="C21" s="48" t="s">
        <v>131</v>
      </c>
      <c r="D21" s="81" t="e">
        <f>+'Synthèse données &amp; ratios'!E152/1000</f>
        <v>#REF!</v>
      </c>
      <c r="E21" s="81">
        <f>+'Synthèse données &amp; ratios'!F152/1000</f>
        <v>0</v>
      </c>
      <c r="F21" s="81">
        <f>+'Synthèse données &amp; ratios'!G152/1000</f>
        <v>0</v>
      </c>
      <c r="G21" s="81">
        <f>+'Synthèse données &amp; ratios'!H152/1000</f>
        <v>9.6909256893824458E-2</v>
      </c>
      <c r="H21" s="82">
        <f>+'Synthèse données &amp; ratios'!I152/1000</f>
        <v>0.1242050727030635</v>
      </c>
      <c r="J21" s="85" t="e">
        <f>AVERAGE(D21:H21)</f>
        <v>#REF!</v>
      </c>
      <c r="L21" s="76">
        <v>2</v>
      </c>
    </row>
    <row r="24" spans="3:12" x14ac:dyDescent="0.25">
      <c r="D24" s="74">
        <v>2015</v>
      </c>
      <c r="E24" s="74">
        <v>2016</v>
      </c>
      <c r="F24" s="74">
        <v>2017</v>
      </c>
      <c r="G24" s="74">
        <v>2018</v>
      </c>
      <c r="H24" s="74">
        <v>2019</v>
      </c>
      <c r="I24" s="20"/>
    </row>
    <row r="25" spans="3:12" x14ac:dyDescent="0.25">
      <c r="C25" s="72" t="s">
        <v>132</v>
      </c>
      <c r="D25" s="88" t="e">
        <f>'Synthèse données &amp; ratios'!E52</f>
        <v>#REF!</v>
      </c>
      <c r="E25" s="88" t="e">
        <f>'Synthèse données &amp; ratios'!F52</f>
        <v>#REF!</v>
      </c>
      <c r="F25" s="88" t="e">
        <f>'Synthèse données &amp; ratios'!G52</f>
        <v>#REF!</v>
      </c>
      <c r="G25" s="88">
        <f>'Synthèse données &amp; ratios'!H52</f>
        <v>71.016086000000001</v>
      </c>
      <c r="H25" s="89">
        <f>'Synthèse données &amp; ratios'!I52</f>
        <v>396.931083</v>
      </c>
    </row>
    <row r="26" spans="3:12" x14ac:dyDescent="0.25">
      <c r="C26" s="21" t="s">
        <v>133</v>
      </c>
      <c r="D26" s="90" t="e">
        <f>'Synthèse données &amp; ratios'!E70</f>
        <v>#REF!</v>
      </c>
      <c r="E26" s="90" t="e">
        <f>'Synthèse données &amp; ratios'!F70</f>
        <v>#REF!</v>
      </c>
      <c r="F26" s="90" t="e">
        <f>'Synthèse données &amp; ratios'!G70</f>
        <v>#REF!</v>
      </c>
      <c r="G26" s="90">
        <f>'Synthèse données &amp; ratios'!H70</f>
        <v>1.2654E-2</v>
      </c>
      <c r="H26" s="91">
        <f>'Synthèse données &amp; ratios'!I70</f>
        <v>0</v>
      </c>
    </row>
    <row r="27" spans="3:12" x14ac:dyDescent="0.25">
      <c r="C27" s="92" t="s">
        <v>134</v>
      </c>
      <c r="D27" s="93" t="e">
        <f>D25-D26</f>
        <v>#REF!</v>
      </c>
      <c r="E27" s="93" t="e">
        <f t="shared" ref="E27:H27" si="0">E25-E26</f>
        <v>#REF!</v>
      </c>
      <c r="F27" s="93" t="e">
        <f t="shared" si="0"/>
        <v>#REF!</v>
      </c>
      <c r="G27" s="93">
        <f t="shared" si="0"/>
        <v>71.003432000000004</v>
      </c>
      <c r="H27" s="94">
        <f t="shared" si="0"/>
        <v>396.931083</v>
      </c>
      <c r="J27" s="20"/>
      <c r="K27" s="20"/>
      <c r="L27" s="20"/>
    </row>
    <row r="30" spans="3:12" x14ac:dyDescent="0.25">
      <c r="D30" s="74">
        <v>2015</v>
      </c>
      <c r="E30" s="74">
        <v>2016</v>
      </c>
      <c r="F30" s="74">
        <v>2017</v>
      </c>
      <c r="G30" s="74">
        <v>2018</v>
      </c>
      <c r="H30" s="74">
        <v>2019</v>
      </c>
      <c r="J30" s="74" t="s">
        <v>125</v>
      </c>
      <c r="K30" s="20"/>
      <c r="L30" s="74" t="s">
        <v>121</v>
      </c>
    </row>
    <row r="31" spans="3:12" x14ac:dyDescent="0.25">
      <c r="C31" s="72" t="s">
        <v>135</v>
      </c>
      <c r="D31" s="88" t="e">
        <f>'Synthèse données &amp; ratios'!E63</f>
        <v>#REF!</v>
      </c>
      <c r="E31" s="88" t="e">
        <f>'Synthèse données &amp; ratios'!F63</f>
        <v>#REF!</v>
      </c>
      <c r="F31" s="88" t="e">
        <f>'Synthèse données &amp; ratios'!G63</f>
        <v>#REF!</v>
      </c>
      <c r="G31" s="88">
        <f>'Synthèse données &amp; ratios'!H63</f>
        <v>0.21382799999999999</v>
      </c>
      <c r="H31" s="89">
        <f>'Synthèse données &amp; ratios'!I63</f>
        <v>1.906506</v>
      </c>
      <c r="J31" s="99"/>
      <c r="L31" s="99"/>
    </row>
    <row r="32" spans="3:12" x14ac:dyDescent="0.25">
      <c r="C32" s="21" t="s">
        <v>136</v>
      </c>
      <c r="D32" s="90" t="e">
        <f>'Synthèse données &amp; ratios'!E70</f>
        <v>#REF!</v>
      </c>
      <c r="E32" s="90" t="e">
        <f>'Synthèse données &amp; ratios'!F70</f>
        <v>#REF!</v>
      </c>
      <c r="F32" s="90" t="e">
        <f>'Synthèse données &amp; ratios'!G70</f>
        <v>#REF!</v>
      </c>
      <c r="G32" s="90">
        <f>'Synthèse données &amp; ratios'!H70</f>
        <v>1.2654E-2</v>
      </c>
      <c r="H32" s="91">
        <f>'Synthèse données &amp; ratios'!I70</f>
        <v>0</v>
      </c>
      <c r="J32" s="99"/>
      <c r="L32" s="99"/>
    </row>
    <row r="33" spans="3:12" x14ac:dyDescent="0.25">
      <c r="C33" s="48" t="s">
        <v>128</v>
      </c>
      <c r="D33" s="95" t="e">
        <f>'Synthèse données &amp; ratios'!E62</f>
        <v>#REF!</v>
      </c>
      <c r="E33" s="95" t="e">
        <f>'Synthèse données &amp; ratios'!F62</f>
        <v>#REF!</v>
      </c>
      <c r="F33" s="95" t="e">
        <f>'Synthèse données &amp; ratios'!G62</f>
        <v>#REF!</v>
      </c>
      <c r="G33" s="95">
        <f>'Synthèse données &amp; ratios'!H62</f>
        <v>9440.958783</v>
      </c>
      <c r="H33" s="96">
        <f>'Synthèse données &amp; ratios'!I62</f>
        <v>10173.143098999999</v>
      </c>
      <c r="J33" s="99"/>
      <c r="L33" s="99"/>
    </row>
    <row r="34" spans="3:12" s="20" customFormat="1" x14ac:dyDescent="0.25">
      <c r="C34" s="92" t="s">
        <v>137</v>
      </c>
      <c r="D34" s="97" t="e">
        <f>(D31+D32)/D33</f>
        <v>#REF!</v>
      </c>
      <c r="E34" s="97" t="e">
        <f t="shared" ref="E34:H34" si="1">(E31+E32)/E33</f>
        <v>#REF!</v>
      </c>
      <c r="F34" s="97" t="e">
        <f t="shared" si="1"/>
        <v>#REF!</v>
      </c>
      <c r="G34" s="97">
        <f t="shared" si="1"/>
        <v>2.3989300790913112E-5</v>
      </c>
      <c r="H34" s="98">
        <f t="shared" si="1"/>
        <v>1.8740579793745415E-4</v>
      </c>
      <c r="J34" s="85" t="e">
        <f>AVERAGE(D34:H34)</f>
        <v>#REF!</v>
      </c>
      <c r="K34" s="74"/>
      <c r="L34" s="74"/>
    </row>
    <row r="37" spans="3:12" x14ac:dyDescent="0.25">
      <c r="D37" s="74">
        <v>2015</v>
      </c>
      <c r="E37" s="74">
        <v>2016</v>
      </c>
      <c r="F37" s="74">
        <v>2017</v>
      </c>
      <c r="G37" s="74">
        <v>2018</v>
      </c>
      <c r="H37" s="74">
        <v>2019</v>
      </c>
    </row>
    <row r="38" spans="3:12" x14ac:dyDescent="0.25">
      <c r="C38" s="100" t="s">
        <v>138</v>
      </c>
      <c r="D38" s="101">
        <f>'Synthèse données &amp; ratios'!E75</f>
        <v>1878</v>
      </c>
      <c r="E38" s="101">
        <f>'Synthèse données &amp; ratios'!F75</f>
        <v>0</v>
      </c>
      <c r="F38" s="101">
        <f>'Synthèse données &amp; ratios'!G75</f>
        <v>-375.702969</v>
      </c>
      <c r="G38" s="101">
        <f>'Synthèse données &amp; ratios'!H75</f>
        <v>-113.053241</v>
      </c>
      <c r="H38" s="102">
        <f>'Synthèse données &amp; ratios'!I75</f>
        <v>1895.055038</v>
      </c>
    </row>
    <row r="39" spans="3:12" x14ac:dyDescent="0.25">
      <c r="C39" s="66" t="s">
        <v>94</v>
      </c>
      <c r="D39" s="30">
        <f>'Synthèse données &amp; ratios'!E76</f>
        <v>-3604</v>
      </c>
      <c r="E39" s="30">
        <f>'Synthèse données &amp; ratios'!F76</f>
        <v>0</v>
      </c>
      <c r="F39" s="30">
        <f>'Synthèse données &amp; ratios'!G76</f>
        <v>4366.9813539999996</v>
      </c>
      <c r="G39" s="30">
        <f>'Synthèse données &amp; ratios'!H76</f>
        <v>6122.7697879999996</v>
      </c>
      <c r="H39" s="31">
        <f>'Synthèse données &amp; ratios'!I76</f>
        <v>-2148.9293039999998</v>
      </c>
    </row>
    <row r="40" spans="3:12" x14ac:dyDescent="0.25">
      <c r="C40" s="66" t="s">
        <v>95</v>
      </c>
      <c r="D40" s="30">
        <f>'Synthèse données &amp; ratios'!E77</f>
        <v>-4855</v>
      </c>
      <c r="E40" s="30">
        <f>'Synthèse données &amp; ratios'!F77</f>
        <v>0</v>
      </c>
      <c r="F40" s="30">
        <f>'Synthèse données &amp; ratios'!G77</f>
        <v>-3900.0090420000001</v>
      </c>
      <c r="G40" s="30">
        <f>'Synthèse données &amp; ratios'!H77</f>
        <v>-6030.4119870000004</v>
      </c>
      <c r="H40" s="31">
        <f>'Synthèse données &amp; ratios'!I77</f>
        <v>579.801917</v>
      </c>
    </row>
    <row r="41" spans="3:12" x14ac:dyDescent="0.25">
      <c r="C41" s="103" t="s">
        <v>96</v>
      </c>
      <c r="D41" s="104">
        <f>'Synthèse données &amp; ratios'!E78</f>
        <v>-6676</v>
      </c>
      <c r="E41" s="104">
        <f>'Synthèse données &amp; ratios'!F78</f>
        <v>0</v>
      </c>
      <c r="F41" s="104">
        <f>'Synthèse données &amp; ratios'!G78</f>
        <v>0</v>
      </c>
      <c r="G41" s="104">
        <f>'Synthèse données &amp; ratios'!H78</f>
        <v>0</v>
      </c>
      <c r="H41" s="105">
        <f>'Synthèse données &amp; ratios'!I78</f>
        <v>0</v>
      </c>
    </row>
    <row r="42" spans="3:12" x14ac:dyDescent="0.25">
      <c r="C42" s="106" t="s">
        <v>139</v>
      </c>
      <c r="D42" s="107">
        <f>SUM(D38:D41)</f>
        <v>-13257</v>
      </c>
      <c r="E42" s="107">
        <f t="shared" ref="E42:G42" si="2">SUM(E38:E41)</f>
        <v>0</v>
      </c>
      <c r="F42" s="107">
        <f t="shared" si="2"/>
        <v>91.269342999999481</v>
      </c>
      <c r="G42" s="107">
        <f t="shared" si="2"/>
        <v>-20.695440000000417</v>
      </c>
      <c r="H42" s="108">
        <f>SUM(H38:H41)</f>
        <v>325.9276510000002</v>
      </c>
    </row>
    <row r="45" spans="3:12" x14ac:dyDescent="0.25">
      <c r="D45" s="74">
        <v>2015</v>
      </c>
      <c r="E45" s="74">
        <v>2016</v>
      </c>
      <c r="F45" s="74">
        <v>2017</v>
      </c>
      <c r="G45" s="74">
        <v>2018</v>
      </c>
      <c r="H45" s="74">
        <v>2019</v>
      </c>
      <c r="J45" s="74" t="s">
        <v>125</v>
      </c>
      <c r="K45" s="20"/>
      <c r="L45" s="74" t="s">
        <v>121</v>
      </c>
    </row>
    <row r="46" spans="3:12" x14ac:dyDescent="0.25">
      <c r="C46" s="72" t="s">
        <v>141</v>
      </c>
      <c r="D46" s="173" t="e">
        <f>'Synthèse données &amp; ratios'!E160</f>
        <v>#REF!</v>
      </c>
      <c r="E46" s="173">
        <f>'Synthèse données &amp; ratios'!F160</f>
        <v>0</v>
      </c>
      <c r="F46" s="173">
        <f>'Synthèse données &amp; ratios'!G160</f>
        <v>0</v>
      </c>
      <c r="G46" s="173">
        <f>'Synthèse données &amp; ratios'!H160</f>
        <v>0.99813973627133179</v>
      </c>
      <c r="H46" s="174">
        <f>'Synthèse données &amp; ratios'!I160</f>
        <v>6.7635434780696153</v>
      </c>
      <c r="J46" s="109" t="e">
        <f>AVERAGE(D46:H46)</f>
        <v>#REF!</v>
      </c>
      <c r="L46" s="76">
        <v>1</v>
      </c>
    </row>
    <row r="47" spans="3:12" x14ac:dyDescent="0.25">
      <c r="C47" s="48" t="s">
        <v>140</v>
      </c>
      <c r="D47" s="145" t="e">
        <f>'Synthèse données &amp; ratios'!E161</f>
        <v>#REF!</v>
      </c>
      <c r="E47" s="145">
        <f>'Synthèse données &amp; ratios'!F161</f>
        <v>0</v>
      </c>
      <c r="F47" s="145">
        <f>'Synthèse données &amp; ratios'!G161</f>
        <v>0</v>
      </c>
      <c r="G47" s="145">
        <f>'Synthèse données &amp; ratios'!H161</f>
        <v>2.203055508091527E-4</v>
      </c>
      <c r="H47" s="175">
        <f>'Synthèse données &amp; ratios'!I161</f>
        <v>7.5768415154897867E-4</v>
      </c>
      <c r="J47" s="110" t="e">
        <f>AVERAGE(D47:H47)</f>
        <v>#REF!</v>
      </c>
      <c r="L47" s="76">
        <v>1</v>
      </c>
    </row>
  </sheetData>
  <pageMargins left="0.7" right="0.7" top="0.75" bottom="0.75" header="0.3" footer="0.3"/>
  <ignoredErrors>
    <ignoredError sqref="H42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73AA8-854F-B84F-A760-25D77F5B0EBB}">
  <dimension ref="E8:I13"/>
  <sheetViews>
    <sheetView workbookViewId="0">
      <selection activeCell="G20" sqref="G20"/>
    </sheetView>
  </sheetViews>
  <sheetFormatPr baseColWidth="10" defaultRowHeight="15" x14ac:dyDescent="0.25"/>
  <cols>
    <col min="5" max="5" width="15" customWidth="1"/>
    <col min="6" max="6" width="13.28515625" customWidth="1"/>
    <col min="7" max="7" width="35.28515625" customWidth="1"/>
    <col min="8" max="10" width="13.28515625" customWidth="1"/>
  </cols>
  <sheetData>
    <row r="8" spans="5:9" x14ac:dyDescent="0.25">
      <c r="E8" s="228"/>
      <c r="F8" s="228"/>
      <c r="G8" s="228"/>
      <c r="H8" s="228"/>
      <c r="I8" s="228"/>
    </row>
    <row r="9" spans="5:9" ht="45" x14ac:dyDescent="0.25">
      <c r="E9" s="163" t="s">
        <v>172</v>
      </c>
      <c r="F9" s="164" t="s">
        <v>160</v>
      </c>
      <c r="G9" s="164" t="s">
        <v>161</v>
      </c>
      <c r="H9" s="164" t="s">
        <v>163</v>
      </c>
      <c r="I9" s="164" t="s">
        <v>162</v>
      </c>
    </row>
    <row r="10" spans="5:9" ht="30.95" customHeight="1" x14ac:dyDescent="0.25">
      <c r="E10" s="162" t="s">
        <v>156</v>
      </c>
      <c r="F10" s="162" t="s">
        <v>164</v>
      </c>
      <c r="G10" s="162" t="s">
        <v>168</v>
      </c>
      <c r="H10" s="161">
        <v>2007</v>
      </c>
      <c r="I10" s="161" t="s">
        <v>167</v>
      </c>
    </row>
    <row r="11" spans="5:9" ht="30.95" customHeight="1" x14ac:dyDescent="0.25">
      <c r="E11" s="165" t="s">
        <v>157</v>
      </c>
      <c r="F11" s="165" t="s">
        <v>165</v>
      </c>
      <c r="G11" s="165" t="s">
        <v>169</v>
      </c>
      <c r="H11" s="166">
        <v>2013</v>
      </c>
      <c r="I11" s="166" t="s">
        <v>167</v>
      </c>
    </row>
    <row r="12" spans="5:9" ht="30.95" customHeight="1" x14ac:dyDescent="0.25">
      <c r="E12" s="162" t="s">
        <v>158</v>
      </c>
      <c r="F12" s="162" t="s">
        <v>166</v>
      </c>
      <c r="G12" s="162" t="s">
        <v>170</v>
      </c>
      <c r="H12" s="161">
        <v>2013</v>
      </c>
      <c r="I12" s="161" t="s">
        <v>167</v>
      </c>
    </row>
    <row r="13" spans="5:9" ht="30.95" customHeight="1" x14ac:dyDescent="0.25">
      <c r="E13" s="165" t="s">
        <v>159</v>
      </c>
      <c r="F13" s="165" t="s">
        <v>166</v>
      </c>
      <c r="G13" s="165" t="s">
        <v>171</v>
      </c>
      <c r="H13" s="166">
        <v>2015</v>
      </c>
      <c r="I13" s="166" t="s">
        <v>167</v>
      </c>
    </row>
  </sheetData>
  <mergeCells count="1">
    <mergeCell ref="E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Ratio</vt:lpstr>
      <vt:lpstr>Synthèse données &amp; ratios</vt:lpstr>
      <vt:lpstr>Chiffres clés</vt:lpstr>
      <vt:lpstr> analyse 5ans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FP-Consulting</dc:creator>
  <cp:lastModifiedBy>Anouar Hassoune</cp:lastModifiedBy>
  <cp:lastPrinted>2020-03-02T17:53:09Z</cp:lastPrinted>
  <dcterms:created xsi:type="dcterms:W3CDTF">2013-02-17T08:35:08Z</dcterms:created>
  <dcterms:modified xsi:type="dcterms:W3CDTF">2021-08-11T08:33:05Z</dcterms:modified>
</cp:coreProperties>
</file>